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2020'!$A$6:$F$285</definedName>
    <definedName name="_xlnm.Print_Area" localSheetId="0">'бюджетные ассигнования на 2020'!$A$1:$H$278</definedName>
  </definedNames>
  <calcPr fullCalcOnLoad="1"/>
</workbook>
</file>

<file path=xl/sharedStrings.xml><?xml version="1.0" encoding="utf-8"?>
<sst xmlns="http://schemas.openxmlformats.org/spreadsheetml/2006/main" count="553" uniqueCount="494">
  <si>
    <t>Муниципальная программа Пучежского муниципального района «Развитие сельского хозяйства Пучежского муниципального района»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</si>
  <si>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</si>
  <si>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</si>
  <si>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</si>
  <si>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</si>
  <si>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</si>
  <si>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</si>
  <si>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</si>
  <si>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</si>
  <si>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</si>
  <si>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</si>
  <si>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</si>
  <si>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</si>
  <si>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</si>
  <si>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</si>
  <si>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</si>
  <si>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</si>
  <si>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</si>
  <si>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</si>
  <si>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</si>
  <si>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</si>
  <si>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(Закупка товаров, работ и услуг для государственных (муниципальных) нужд)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</si>
  <si>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</si>
  <si>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</si>
  <si>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</si>
  <si>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</si>
  <si>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</si>
  <si>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</si>
  <si>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</si>
  <si>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</si>
  <si>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</si>
  <si>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</si>
  <si>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</si>
  <si>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</si>
  <si>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</si>
  <si>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</si>
  <si>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</si>
  <si>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</si>
  <si>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</si>
  <si>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</si>
  <si>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</si>
  <si>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</si>
  <si>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</si>
  <si>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</si>
  <si>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</si>
  <si>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</si>
  <si>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</si>
  <si>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</si>
  <si>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</si>
  <si>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</si>
  <si>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</si>
  <si>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</si>
  <si>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</si>
  <si>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</si>
  <si>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01 0 07 00200</t>
  </si>
  <si>
    <t>01 0 07 00220</t>
  </si>
  <si>
    <t>01 0 08 80100</t>
  </si>
  <si>
    <t>01 0 07 00160</t>
  </si>
  <si>
    <t>01 0 07 00170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</si>
  <si>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</si>
  <si>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</si>
  <si>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</si>
  <si>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</si>
  <si>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</si>
  <si>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</si>
  <si>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</si>
  <si>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</si>
  <si>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</si>
  <si>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</si>
  <si>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</si>
  <si>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</si>
  <si>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</si>
  <si>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</si>
  <si>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</si>
  <si>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</si>
  <si>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</si>
  <si>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</si>
  <si>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</si>
  <si>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</si>
  <si>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</si>
  <si>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</si>
  <si>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</si>
  <si>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</si>
  <si>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</si>
  <si>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</si>
  <si>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</si>
  <si>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</si>
  <si>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</si>
  <si>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</si>
  <si>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</si>
  <si>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</si>
  <si>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</si>
  <si>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</si>
  <si>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</si>
  <si>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</si>
  <si>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</si>
  <si>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</si>
  <si>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</si>
  <si>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</si>
  <si>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</si>
  <si>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</si>
  <si>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</si>
  <si>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</si>
  <si>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</si>
  <si>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</si>
  <si>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</si>
  <si>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</si>
  <si>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</si>
  <si>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</si>
  <si>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</si>
  <si>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</si>
  <si>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</si>
  <si>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</si>
  <si>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</si>
  <si>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</si>
  <si>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</si>
  <si>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</si>
  <si>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</si>
  <si>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</si>
  <si>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</si>
  <si>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</si>
  <si>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</si>
  <si>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</si>
  <si>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</si>
  <si>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</si>
  <si>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</si>
  <si>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</si>
  <si>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</si>
  <si>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</si>
  <si>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</si>
  <si>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</si>
  <si>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</si>
  <si>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</si>
  <si>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</si>
  <si>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</si>
  <si>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</si>
  <si>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</si>
  <si>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</si>
  <si>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</si>
  <si>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</si>
  <si>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</si>
  <si>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</si>
  <si>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</si>
  <si>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</si>
  <si>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</si>
  <si>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</si>
  <si>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</si>
  <si>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</si>
  <si>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Расходы бюджета Пучежского муниципального района 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за 2020 год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</si>
  <si>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</si>
  <si>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</si>
  <si>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</si>
  <si>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Выполнение мероприятий по содержанию муниципального имущества (Иные бюджетные ассигнования)</t>
  </si>
  <si>
    <t>06 0 02 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</si>
  <si>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</si>
  <si>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09 4 00 00000</t>
  </si>
  <si>
    <t>09 4 01 00000</t>
  </si>
  <si>
    <t>09 4 01 L5762</t>
  </si>
  <si>
    <t>19 0 02 01390</t>
  </si>
  <si>
    <t>19 0 02 01400</t>
  </si>
  <si>
    <t>Меры по укреплению материально-технической базы с целью повышения качества проводимых мероприятий по охране общественного порядка на территории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</si>
  <si>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</si>
  <si>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</si>
  <si>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</si>
  <si>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</si>
  <si>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</si>
  <si>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</si>
  <si>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</si>
  <si>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</si>
  <si>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</si>
  <si>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</si>
  <si>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</si>
  <si>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</si>
  <si>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</si>
  <si>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</si>
  <si>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</si>
  <si>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</si>
  <si>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03 0 07 00000</t>
  </si>
  <si>
    <t>03 0 07 01350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</si>
  <si>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</si>
  <si>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</si>
  <si>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02 0 А1 00000</t>
  </si>
  <si>
    <t>Региональный проект "Культурная среда"</t>
  </si>
  <si>
    <t>01 0 Е1 00000</t>
  </si>
  <si>
    <t>Региональный проект "Современная школа"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</si>
  <si>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</si>
  <si>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</si>
  <si>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</si>
  <si>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Реализация мероприятий по поэтапному доведению средней заработной платы работников культуры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</si>
  <si>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</si>
  <si>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</si>
  <si>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</si>
  <si>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</si>
  <si>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</si>
  <si>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</si>
  <si>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</si>
  <si>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</si>
  <si>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</si>
  <si>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</si>
  <si>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</si>
  <si>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</si>
  <si>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</si>
  <si>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</si>
  <si>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</si>
  <si>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</si>
  <si>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</si>
  <si>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06 0 01 S0510</t>
  </si>
  <si>
    <t>02 0 07 00000</t>
  </si>
  <si>
    <t>02 0 07 L5191</t>
  </si>
  <si>
    <t>02 0 07 9182Н</t>
  </si>
  <si>
    <t>Основное мероприятие "Обеспечение деятельности муниципальных учреждений"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</si>
  <si>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</si>
  <si>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</si>
  <si>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</si>
  <si>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</si>
  <si>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</si>
  <si>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</si>
  <si>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</si>
  <si>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</si>
  <si>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</si>
  <si>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</si>
  <si>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17 1 01 01340</t>
  </si>
  <si>
    <t>01 0 02 53031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</si>
  <si>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населению))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</si>
  <si>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</si>
  <si>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</si>
  <si>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</si>
  <si>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</si>
  <si>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</si>
  <si>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</si>
  <si>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</si>
  <si>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</si>
  <si>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</si>
  <si>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</si>
  <si>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08 0 01 00500</t>
  </si>
  <si>
    <t>08 0 01 S1440</t>
  </si>
  <si>
    <t>Иные непрограммные мероприятия</t>
  </si>
  <si>
    <t>01 0 09 00240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</si>
  <si>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</si>
  <si>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 xml:space="preserve">Основное мероприятие «Создание модельных муниципальных библиотек» 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</si>
  <si>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</si>
  <si>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</si>
  <si>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</si>
  <si>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</si>
  <si>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</si>
  <si>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</si>
  <si>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</si>
  <si>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государственных (муниципальных) нужд)</t>
  </si>
  <si>
    <t>04 1 01 S2990</t>
  </si>
  <si>
    <t>Софинансирование по разработке (корректировке) проектной документации и газификации населенных пунктов, объектов социальной инфраструктуры, входящих в состав Пучежского муниципального района (Бюджетные инвестиции на приобретение объектов недвижимого имущества в муниципальную собственность)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</si>
  <si>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</si>
  <si>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</si>
  <si>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</si>
  <si>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</si>
  <si>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07 2 01 60050</t>
  </si>
  <si>
    <t>07 2 01 60060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</si>
  <si>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</si>
  <si>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</si>
  <si>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</si>
  <si>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</si>
  <si>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</si>
  <si>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</si>
  <si>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</si>
  <si>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</si>
  <si>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</si>
  <si>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</si>
  <si>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</si>
  <si>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20  9 00 55490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</si>
  <si>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</si>
  <si>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Приложение № 3 к решению Совета 
Пучежского муниципального района 
от  .05.2021 № 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</si>
  <si>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</si>
  <si>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</si>
  <si>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</si>
  <si>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</si>
  <si>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</si>
  <si>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</si>
  <si>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</si>
  <si>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</si>
  <si>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</si>
  <si>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</si>
  <si>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</si>
  <si>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</si>
  <si>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</si>
  <si>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</si>
  <si>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</si>
  <si>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</si>
  <si>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</si>
  <si>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</si>
  <si>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</si>
  <si>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</si>
  <si>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</si>
  <si>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Осуществление дополнительных мероприятий по профилактике и противодействию распространения новой коронавирусной инфекции (COVID-19) в муниципальныных общеобразовательных организациях Ивановской области (Закупка товаров, работ и услуг для государственных (муниципальных) нужд)</t>
  </si>
  <si>
    <t>01 0 02 S6900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</si>
  <si>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</si>
  <si>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</si>
  <si>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</si>
  <si>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</si>
  <si>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</si>
  <si>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</si>
  <si>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</si>
  <si>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</si>
  <si>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</si>
  <si>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</si>
  <si>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</si>
  <si>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</si>
  <si>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</si>
  <si>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</si>
  <si>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</si>
  <si>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</si>
  <si>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</si>
  <si>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</si>
  <si>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</si>
  <si>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</si>
  <si>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</si>
  <si>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</si>
  <si>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</si>
  <si>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</si>
  <si>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</si>
  <si>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</si>
  <si>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</si>
  <si>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</si>
  <si>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</si>
  <si>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</si>
  <si>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</si>
  <si>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</si>
  <si>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</si>
  <si>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</si>
  <si>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</si>
  <si>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</si>
  <si>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</si>
  <si>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</si>
  <si>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</si>
  <si>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</si>
  <si>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</si>
  <si>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</si>
  <si>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</si>
  <si>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</si>
  <si>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</si>
  <si>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</si>
  <si>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</si>
  <si>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</si>
  <si>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</si>
  <si>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</si>
  <si>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 xml:space="preserve">Подпрограмма «Комплексное развитие сельских территорий в Пучежском муниципальном районе" </t>
  </si>
  <si>
    <t>Основное мероприятие «Комплексное развитие сельских территорий в Пучежском муниципальном районе Ивановской области»</t>
  </si>
  <si>
    <t>01 0 08 L3041</t>
  </si>
  <si>
    <t>Приобретение баннера в рамках профилактики различных видов мошенничества в отношении граждан Пучежского муниципального района (Закупка товаров, работ и услуг для государственных (муниципальных) нужд)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</si>
  <si>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</si>
  <si>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</si>
  <si>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</si>
  <si>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</si>
  <si>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</si>
  <si>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</si>
  <si>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</si>
  <si>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</si>
  <si>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</si>
  <si>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</si>
  <si>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</si>
  <si>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</si>
  <si>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</si>
  <si>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</si>
  <si>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</si>
  <si>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</si>
  <si>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</si>
  <si>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</si>
  <si>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</si>
  <si>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</si>
  <si>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</si>
  <si>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</si>
  <si>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</si>
  <si>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</si>
  <si>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</si>
  <si>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</si>
  <si>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</si>
  <si>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</si>
  <si>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</si>
  <si>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</si>
  <si>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</si>
  <si>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</si>
  <si>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</si>
  <si>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</si>
  <si>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</si>
  <si>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</si>
  <si>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</si>
  <si>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</si>
  <si>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</si>
  <si>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</si>
  <si>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</si>
  <si>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</si>
  <si>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</si>
  <si>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</si>
  <si>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</si>
  <si>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</si>
  <si>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</si>
  <si>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</si>
  <si>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</si>
  <si>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</si>
  <si>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</si>
  <si>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</si>
  <si>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07 1 01 80240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</si>
  <si>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</si>
  <si>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</si>
  <si>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02 0 06 L3060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</si>
  <si>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</si>
  <si>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Организация мероприятий, носящих общегородской и межмуниципальный характер (Иные бюджетные ассигнования)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</si>
  <si>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</si>
  <si>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</si>
  <si>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</si>
  <si>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</si>
  <si>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</si>
  <si>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</si>
  <si>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</si>
  <si>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10 1 00 00000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</si>
  <si>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</si>
  <si>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</si>
  <si>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</si>
  <si>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</si>
  <si>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</si>
  <si>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</si>
  <si>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</si>
  <si>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</si>
  <si>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</si>
  <si>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% исполнения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</si>
  <si>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</si>
  <si>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</si>
  <si>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</si>
  <si>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</si>
  <si>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</si>
  <si>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</si>
  <si>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</si>
  <si>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</si>
  <si>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</si>
  <si>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</si>
  <si>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</si>
  <si>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</si>
  <si>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</si>
  <si>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</si>
  <si>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</si>
  <si>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</si>
  <si>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</si>
  <si>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</si>
  <si>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</si>
  <si>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</si>
  <si>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</si>
  <si>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</si>
  <si>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</si>
  <si>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</si>
  <si>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</si>
  <si>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</si>
  <si>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</si>
  <si>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</si>
  <si>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</si>
  <si>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</si>
  <si>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</si>
  <si>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</si>
  <si>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</si>
  <si>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</si>
  <si>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</si>
  <si>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</si>
  <si>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</si>
  <si>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</si>
  <si>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</si>
  <si>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</si>
  <si>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</si>
  <si>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</si>
  <si>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</si>
  <si>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</si>
  <si>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</si>
  <si>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</si>
  <si>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</si>
  <si>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</si>
  <si>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</si>
  <si>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</si>
  <si>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</si>
  <si>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</si>
  <si>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</si>
  <si>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</si>
  <si>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</si>
  <si>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</si>
  <si>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</si>
  <si>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</si>
  <si>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</si>
  <si>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</si>
  <si>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</si>
  <si>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</si>
  <si>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</si>
  <si>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</si>
  <si>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</si>
  <si>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</si>
  <si>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</si>
  <si>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</si>
  <si>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</si>
  <si>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Утверждено           на 2020 год, руб</t>
  </si>
  <si>
    <t>Исполнено              за 2020 год, руб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</si>
</sst>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34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center" vertical="center" wrapText="1"/>
    </xf>
    <xf numFmtId="4" fontId="2" fillId="33" borderId="21" xfId="61" applyNumberFormat="1" applyFont="1" applyFill="1" applyBorder="1" applyAlignment="1">
      <alignment horizontal="center"/>
    </xf>
    <xf numFmtId="4" fontId="2" fillId="34" borderId="21" xfId="61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/>
    </xf>
    <xf numFmtId="4" fontId="2" fillId="33" borderId="21" xfId="61" applyNumberFormat="1" applyFont="1" applyFill="1" applyBorder="1" applyAlignment="1">
      <alignment horizontal="center" vertical="center"/>
    </xf>
    <xf numFmtId="4" fontId="2" fillId="34" borderId="21" xfId="0" applyNumberFormat="1" applyFont="1" applyFill="1" applyBorder="1" applyAlignment="1">
      <alignment horizontal="center" wrapText="1"/>
    </xf>
    <xf numFmtId="4" fontId="2" fillId="34" borderId="21" xfId="61" applyNumberFormat="1" applyFont="1" applyFill="1" applyBorder="1" applyAlignment="1">
      <alignment horizontal="center" vertical="center"/>
    </xf>
    <xf numFmtId="4" fontId="5" fillId="34" borderId="21" xfId="61" applyNumberFormat="1" applyFont="1" applyFill="1" applyBorder="1" applyAlignment="1">
      <alignment horizontal="center"/>
    </xf>
    <xf numFmtId="4" fontId="5" fillId="34" borderId="21" xfId="0" applyNumberFormat="1" applyFont="1" applyFill="1" applyBorder="1" applyAlignment="1">
      <alignment horizontal="center"/>
    </xf>
    <xf numFmtId="4" fontId="2" fillId="34" borderId="21" xfId="0" applyNumberFormat="1" applyFont="1" applyFill="1" applyBorder="1" applyAlignment="1">
      <alignment horizontal="center" vertical="center"/>
    </xf>
    <xf numFmtId="4" fontId="5" fillId="34" borderId="21" xfId="61" applyNumberFormat="1" applyFont="1" applyFill="1" applyBorder="1" applyAlignment="1">
      <alignment horizontal="center" vertical="center"/>
    </xf>
    <xf numFmtId="4" fontId="5" fillId="34" borderId="21" xfId="0" applyNumberFormat="1" applyFont="1" applyFill="1" applyBorder="1" applyAlignment="1">
      <alignment horizontal="center" vertical="center"/>
    </xf>
    <xf numFmtId="4" fontId="2" fillId="33" borderId="21" xfId="0" applyNumberFormat="1" applyFont="1" applyFill="1" applyBorder="1" applyAlignment="1">
      <alignment horizontal="center" vertical="center"/>
    </xf>
    <xf numFmtId="4" fontId="1" fillId="34" borderId="21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176" fontId="1" fillId="34" borderId="12" xfId="0" applyNumberFormat="1" applyFont="1" applyFill="1" applyBorder="1" applyAlignment="1">
      <alignment horizontal="center"/>
    </xf>
    <xf numFmtId="176" fontId="2" fillId="34" borderId="12" xfId="0" applyNumberFormat="1" applyFont="1" applyFill="1" applyBorder="1" applyAlignment="1">
      <alignment horizontal="center"/>
    </xf>
    <xf numFmtId="176" fontId="2" fillId="33" borderId="12" xfId="0" applyNumberFormat="1" applyFont="1" applyFill="1" applyBorder="1" applyAlignment="1">
      <alignment horizontal="center"/>
    </xf>
    <xf numFmtId="176" fontId="2" fillId="33" borderId="12" xfId="0" applyNumberFormat="1" applyFont="1" applyFill="1" applyBorder="1" applyAlignment="1">
      <alignment horizontal="center" vertical="center"/>
    </xf>
    <xf numFmtId="176" fontId="1" fillId="34" borderId="12" xfId="0" applyNumberFormat="1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zoomScaleSheetLayoutView="100" zoomScalePageLayoutView="0" workbookViewId="0" topLeftCell="A271">
      <selection activeCell="G7" sqref="G7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4" width="0.12890625" style="30" customWidth="1"/>
    <col min="5" max="5" width="16.375" style="30" hidden="1" customWidth="1"/>
    <col min="6" max="6" width="16.375" style="30" customWidth="1"/>
    <col min="7" max="7" width="17.00390625" style="30" customWidth="1"/>
    <col min="8" max="8" width="15.125" style="104" customWidth="1"/>
  </cols>
  <sheetData>
    <row r="1" spans="1:8" ht="45" customHeight="1">
      <c r="A1" s="43"/>
      <c r="B1" s="112" t="s">
        <v>269</v>
      </c>
      <c r="C1" s="112"/>
      <c r="D1" s="112"/>
      <c r="E1" s="112"/>
      <c r="F1" s="112"/>
      <c r="G1" s="112"/>
      <c r="H1" s="112"/>
    </row>
    <row r="3" spans="1:8" ht="12.75" customHeight="1">
      <c r="A3" s="113" t="s">
        <v>148</v>
      </c>
      <c r="B3" s="113"/>
      <c r="C3" s="113"/>
      <c r="D3" s="113"/>
      <c r="E3" s="113"/>
      <c r="F3" s="113"/>
      <c r="G3" s="113"/>
      <c r="H3" s="113"/>
    </row>
    <row r="4" spans="1:8" ht="61.5" customHeight="1">
      <c r="A4" s="113"/>
      <c r="B4" s="113"/>
      <c r="C4" s="113"/>
      <c r="D4" s="113"/>
      <c r="E4" s="113"/>
      <c r="F4" s="113"/>
      <c r="G4" s="113"/>
      <c r="H4" s="113"/>
    </row>
    <row r="5" spans="1:3" ht="15.75" customHeight="1">
      <c r="A5" s="44"/>
      <c r="B5" s="1"/>
      <c r="C5" s="1"/>
    </row>
    <row r="6" spans="1:8" s="12" customFormat="1" ht="51" customHeight="1">
      <c r="A6" s="10" t="s">
        <v>479</v>
      </c>
      <c r="B6" s="11" t="s">
        <v>382</v>
      </c>
      <c r="C6" s="11" t="s">
        <v>46</v>
      </c>
      <c r="D6" s="31" t="s">
        <v>383</v>
      </c>
      <c r="E6" s="80" t="s">
        <v>411</v>
      </c>
      <c r="F6" s="89" t="s">
        <v>492</v>
      </c>
      <c r="G6" s="31" t="s">
        <v>493</v>
      </c>
      <c r="H6" s="11" t="s">
        <v>422</v>
      </c>
    </row>
    <row r="7" spans="1:8" ht="39" customHeight="1">
      <c r="A7" s="45" t="s">
        <v>286</v>
      </c>
      <c r="B7" s="3" t="s">
        <v>171</v>
      </c>
      <c r="C7" s="9"/>
      <c r="D7" s="16">
        <f>D8+D18+D29+D37+D43+D46+D49+D56+D63+D67</f>
        <v>121954727.46</v>
      </c>
      <c r="E7" s="16">
        <f>E8+E18+E29+E37+E43+E46+E49+E56+E63+E67</f>
        <v>-4503488.869999999</v>
      </c>
      <c r="F7" s="90">
        <f>F8+F18+F29+F37+F43+F46+F49+F56+F63+F67</f>
        <v>117451238.59000002</v>
      </c>
      <c r="G7" s="90">
        <f>G8+G18+G29+G37+G43+G46+G49+G56+G63+G67</f>
        <v>114228373.1</v>
      </c>
      <c r="H7" s="108">
        <f aca="true" t="shared" si="0" ref="H7:H68">G7/F7*100</f>
        <v>97.2559970174087</v>
      </c>
    </row>
    <row r="8" spans="1:8" ht="31.5" customHeight="1">
      <c r="A8" s="46" t="s">
        <v>451</v>
      </c>
      <c r="B8" s="32" t="s">
        <v>3</v>
      </c>
      <c r="C8" s="33"/>
      <c r="D8" s="34">
        <f>SUM(D9:D17)</f>
        <v>43145464.050000004</v>
      </c>
      <c r="E8" s="34">
        <f>SUM(E9:E17)</f>
        <v>-1057335.43</v>
      </c>
      <c r="F8" s="91">
        <f>SUM(F9:F17)</f>
        <v>42088128.620000005</v>
      </c>
      <c r="G8" s="91">
        <f>SUM(G9:G17)</f>
        <v>41133177.839999996</v>
      </c>
      <c r="H8" s="107">
        <f t="shared" si="0"/>
        <v>97.73106856657385</v>
      </c>
    </row>
    <row r="9" spans="1:8" ht="63.75" customHeight="1">
      <c r="A9" s="47" t="s">
        <v>1</v>
      </c>
      <c r="B9" s="4" t="s">
        <v>2</v>
      </c>
      <c r="C9" s="4">
        <v>100</v>
      </c>
      <c r="D9" s="13">
        <v>7725900</v>
      </c>
      <c r="E9" s="13">
        <f>-97017.85-42311.72-14551.62-19021.49-1838.06-9963.26</f>
        <v>-184704</v>
      </c>
      <c r="F9" s="83">
        <f>D9+E9</f>
        <v>7541196</v>
      </c>
      <c r="G9" s="13">
        <v>7526878.28</v>
      </c>
      <c r="H9" s="105">
        <f t="shared" si="0"/>
        <v>99.81013993005884</v>
      </c>
    </row>
    <row r="10" spans="1:8" ht="45.75" customHeight="1">
      <c r="A10" s="47" t="s">
        <v>380</v>
      </c>
      <c r="B10" s="4" t="s">
        <v>2</v>
      </c>
      <c r="C10" s="4">
        <v>200</v>
      </c>
      <c r="D10" s="13">
        <v>8244644.78</v>
      </c>
      <c r="E10" s="13">
        <f>3711.31-12869.43-99649.68-94093.12-55572.72-215154.16-3198.49</f>
        <v>-476826.29</v>
      </c>
      <c r="F10" s="83">
        <f aca="true" t="shared" si="1" ref="F10:F17">D10+E10</f>
        <v>7767818.49</v>
      </c>
      <c r="G10" s="13">
        <v>7045799.35</v>
      </c>
      <c r="H10" s="105">
        <f t="shared" si="0"/>
        <v>90.70499470437548</v>
      </c>
    </row>
    <row r="11" spans="1:8" ht="31.5" customHeight="1">
      <c r="A11" s="47" t="s">
        <v>381</v>
      </c>
      <c r="B11" s="4" t="s">
        <v>2</v>
      </c>
      <c r="C11" s="4">
        <v>800</v>
      </c>
      <c r="D11" s="13">
        <v>173166.96</v>
      </c>
      <c r="E11" s="13"/>
      <c r="F11" s="83">
        <f t="shared" si="1"/>
        <v>173166.96</v>
      </c>
      <c r="G11" s="13">
        <v>173166.96</v>
      </c>
      <c r="H11" s="105">
        <f t="shared" si="0"/>
        <v>100</v>
      </c>
    </row>
    <row r="12" spans="1:8" ht="48.75" customHeight="1">
      <c r="A12" s="47" t="s">
        <v>313</v>
      </c>
      <c r="B12" s="4" t="s">
        <v>31</v>
      </c>
      <c r="C12" s="4">
        <v>200</v>
      </c>
      <c r="D12" s="13">
        <v>360859</v>
      </c>
      <c r="E12" s="13"/>
      <c r="F12" s="83">
        <f t="shared" si="1"/>
        <v>360859</v>
      </c>
      <c r="G12" s="13">
        <v>349314</v>
      </c>
      <c r="H12" s="105">
        <f t="shared" si="0"/>
        <v>96.8006894659687</v>
      </c>
    </row>
    <row r="13" spans="1:8" ht="174.75" customHeight="1">
      <c r="A13" s="47" t="s">
        <v>115</v>
      </c>
      <c r="B13" s="4" t="s">
        <v>116</v>
      </c>
      <c r="C13" s="4">
        <v>100</v>
      </c>
      <c r="D13" s="13">
        <v>21632191.6</v>
      </c>
      <c r="E13" s="13">
        <v>-277902</v>
      </c>
      <c r="F13" s="83">
        <f t="shared" si="1"/>
        <v>21354289.6</v>
      </c>
      <c r="G13" s="13">
        <v>21354289.6</v>
      </c>
      <c r="H13" s="105">
        <f t="shared" si="0"/>
        <v>100</v>
      </c>
    </row>
    <row r="14" spans="1:8" ht="144" customHeight="1">
      <c r="A14" s="47" t="s">
        <v>270</v>
      </c>
      <c r="B14" s="4" t="s">
        <v>116</v>
      </c>
      <c r="C14" s="4">
        <v>200</v>
      </c>
      <c r="D14" s="13">
        <v>178974</v>
      </c>
      <c r="E14" s="13"/>
      <c r="F14" s="83">
        <f t="shared" si="1"/>
        <v>178974</v>
      </c>
      <c r="G14" s="13">
        <v>178974</v>
      </c>
      <c r="H14" s="105">
        <f t="shared" si="0"/>
        <v>100</v>
      </c>
    </row>
    <row r="15" spans="1:8" ht="144" customHeight="1">
      <c r="A15" s="47" t="s">
        <v>223</v>
      </c>
      <c r="B15" s="4" t="s">
        <v>116</v>
      </c>
      <c r="C15" s="4">
        <v>300</v>
      </c>
      <c r="D15" s="13">
        <v>24908.4</v>
      </c>
      <c r="E15" s="13"/>
      <c r="F15" s="83">
        <f t="shared" si="1"/>
        <v>24908.4</v>
      </c>
      <c r="G15" s="13">
        <v>24908.4</v>
      </c>
      <c r="H15" s="105">
        <f t="shared" si="0"/>
        <v>100</v>
      </c>
    </row>
    <row r="16" spans="1:8" ht="48" customHeight="1">
      <c r="A16" s="52" t="s">
        <v>37</v>
      </c>
      <c r="B16" s="4" t="s">
        <v>38</v>
      </c>
      <c r="C16" s="4">
        <v>200</v>
      </c>
      <c r="D16" s="13">
        <v>202020.2</v>
      </c>
      <c r="E16" s="13"/>
      <c r="F16" s="83">
        <f t="shared" si="1"/>
        <v>202020.2</v>
      </c>
      <c r="G16" s="13">
        <v>202020.2</v>
      </c>
      <c r="H16" s="105">
        <f t="shared" si="0"/>
        <v>100</v>
      </c>
    </row>
    <row r="17" spans="1:8" ht="48" customHeight="1">
      <c r="A17" s="47" t="s">
        <v>485</v>
      </c>
      <c r="B17" s="4" t="s">
        <v>486</v>
      </c>
      <c r="C17" s="4">
        <v>200</v>
      </c>
      <c r="D17" s="13">
        <v>4602799.11</v>
      </c>
      <c r="E17" s="13">
        <f>-43785-40561.9-33556.24</f>
        <v>-117903.13999999998</v>
      </c>
      <c r="F17" s="83">
        <f t="shared" si="1"/>
        <v>4484895.970000001</v>
      </c>
      <c r="G17" s="13">
        <v>4277827.05</v>
      </c>
      <c r="H17" s="105">
        <f t="shared" si="0"/>
        <v>95.3829716143895</v>
      </c>
    </row>
    <row r="18" spans="1:8" ht="31.5" customHeight="1">
      <c r="A18" s="46" t="s">
        <v>170</v>
      </c>
      <c r="B18" s="32" t="s">
        <v>172</v>
      </c>
      <c r="C18" s="6"/>
      <c r="D18" s="35">
        <f>SUM(D19:D27)</f>
        <v>62488786.43</v>
      </c>
      <c r="E18" s="35">
        <f>SUM(E19:E28)</f>
        <v>-2233440.4699999997</v>
      </c>
      <c r="F18" s="92">
        <f>SUM(F19:F28)</f>
        <v>60255345.95999999</v>
      </c>
      <c r="G18" s="92">
        <f>SUM(G19:G28)</f>
        <v>58845686.71</v>
      </c>
      <c r="H18" s="107">
        <f t="shared" si="0"/>
        <v>97.66052417832638</v>
      </c>
    </row>
    <row r="19" spans="1:8" ht="65.25" customHeight="1">
      <c r="A19" s="47" t="s">
        <v>487</v>
      </c>
      <c r="B19" s="4" t="s">
        <v>266</v>
      </c>
      <c r="C19" s="4">
        <v>100</v>
      </c>
      <c r="D19" s="13">
        <v>7523498.71</v>
      </c>
      <c r="E19" s="13">
        <f>-96649.95-5098.87-134040.56+6716.73-7320-1000</f>
        <v>-237392.65</v>
      </c>
      <c r="F19" s="83">
        <f aca="true" t="shared" si="2" ref="F19:F28">D19+E19</f>
        <v>7286106.06</v>
      </c>
      <c r="G19" s="13">
        <v>7231562.52</v>
      </c>
      <c r="H19" s="105">
        <f t="shared" si="0"/>
        <v>99.25140343070987</v>
      </c>
    </row>
    <row r="20" spans="1:8" ht="48" customHeight="1">
      <c r="A20" s="47" t="s">
        <v>47</v>
      </c>
      <c r="B20" s="4" t="s">
        <v>266</v>
      </c>
      <c r="C20" s="4">
        <v>200</v>
      </c>
      <c r="D20" s="13">
        <v>18680751.57</v>
      </c>
      <c r="E20" s="13">
        <f>-251142.95-477071.75-139613.12-159795.55-562740.29+7320+1000+45765.08</f>
        <v>-1536278.5799999998</v>
      </c>
      <c r="F20" s="83">
        <f t="shared" si="2"/>
        <v>17144472.990000002</v>
      </c>
      <c r="G20" s="13">
        <v>15873040.32</v>
      </c>
      <c r="H20" s="105">
        <f t="shared" si="0"/>
        <v>92.58400843967848</v>
      </c>
    </row>
    <row r="21" spans="1:8" ht="32.25" customHeight="1">
      <c r="A21" s="47" t="s">
        <v>151</v>
      </c>
      <c r="B21" s="4" t="s">
        <v>266</v>
      </c>
      <c r="C21" s="4">
        <v>300</v>
      </c>
      <c r="D21" s="13">
        <v>751.29</v>
      </c>
      <c r="E21" s="13"/>
      <c r="F21" s="83">
        <f t="shared" si="2"/>
        <v>751.29</v>
      </c>
      <c r="G21" s="13">
        <v>751.29</v>
      </c>
      <c r="H21" s="105">
        <f t="shared" si="0"/>
        <v>100</v>
      </c>
    </row>
    <row r="22" spans="1:8" ht="32.25" customHeight="1">
      <c r="A22" s="47" t="s">
        <v>48</v>
      </c>
      <c r="B22" s="4" t="s">
        <v>266</v>
      </c>
      <c r="C22" s="4">
        <v>800</v>
      </c>
      <c r="D22" s="13">
        <v>189738.35</v>
      </c>
      <c r="E22" s="13">
        <v>35200</v>
      </c>
      <c r="F22" s="83">
        <f t="shared" si="2"/>
        <v>224938.35</v>
      </c>
      <c r="G22" s="13">
        <v>224938.35</v>
      </c>
      <c r="H22" s="105">
        <f t="shared" si="0"/>
        <v>100</v>
      </c>
    </row>
    <row r="23" spans="1:8" ht="48.75" customHeight="1">
      <c r="A23" s="47" t="s">
        <v>107</v>
      </c>
      <c r="B23" s="4" t="s">
        <v>106</v>
      </c>
      <c r="C23" s="4">
        <v>200</v>
      </c>
      <c r="D23" s="13">
        <v>296144</v>
      </c>
      <c r="E23" s="13">
        <f>-1374</f>
        <v>-1374</v>
      </c>
      <c r="F23" s="83">
        <f t="shared" si="2"/>
        <v>294770</v>
      </c>
      <c r="G23" s="13">
        <v>282315</v>
      </c>
      <c r="H23" s="105">
        <f t="shared" si="0"/>
        <v>95.7746717779964</v>
      </c>
    </row>
    <row r="24" spans="1:8" ht="158.25" customHeight="1">
      <c r="A24" s="47" t="s">
        <v>43</v>
      </c>
      <c r="B24" s="4" t="s">
        <v>265</v>
      </c>
      <c r="C24" s="4">
        <v>100</v>
      </c>
      <c r="D24" s="13">
        <v>33104308.25</v>
      </c>
      <c r="E24" s="13">
        <v>-792216</v>
      </c>
      <c r="F24" s="83">
        <f t="shared" si="2"/>
        <v>32312092.25</v>
      </c>
      <c r="G24" s="13">
        <v>32312092.25</v>
      </c>
      <c r="H24" s="105">
        <f t="shared" si="0"/>
        <v>100</v>
      </c>
    </row>
    <row r="25" spans="1:8" ht="126" customHeight="1">
      <c r="A25" s="47" t="s">
        <v>322</v>
      </c>
      <c r="B25" s="4" t="s">
        <v>265</v>
      </c>
      <c r="C25" s="4">
        <v>200</v>
      </c>
      <c r="D25" s="13">
        <v>877062</v>
      </c>
      <c r="E25" s="13">
        <v>-12486</v>
      </c>
      <c r="F25" s="83">
        <f t="shared" si="2"/>
        <v>864576</v>
      </c>
      <c r="G25" s="13">
        <v>864576</v>
      </c>
      <c r="H25" s="105">
        <f t="shared" si="0"/>
        <v>100</v>
      </c>
    </row>
    <row r="26" spans="1:8" ht="46.5" customHeight="1">
      <c r="A26" s="55" t="s">
        <v>227</v>
      </c>
      <c r="B26" s="4" t="s">
        <v>201</v>
      </c>
      <c r="C26" s="4">
        <v>200</v>
      </c>
      <c r="D26" s="13">
        <v>540572.26</v>
      </c>
      <c r="E26" s="13"/>
      <c r="F26" s="83">
        <f t="shared" si="2"/>
        <v>540572.26</v>
      </c>
      <c r="G26" s="13">
        <v>540572.26</v>
      </c>
      <c r="H26" s="105">
        <f t="shared" si="0"/>
        <v>100</v>
      </c>
    </row>
    <row r="27" spans="1:8" ht="79.5" customHeight="1">
      <c r="A27" s="53" t="s">
        <v>429</v>
      </c>
      <c r="B27" s="4" t="s">
        <v>222</v>
      </c>
      <c r="C27" s="4">
        <v>100</v>
      </c>
      <c r="D27" s="13">
        <v>1275960</v>
      </c>
      <c r="E27" s="13"/>
      <c r="F27" s="83">
        <f t="shared" si="2"/>
        <v>1275960</v>
      </c>
      <c r="G27" s="13">
        <v>1204731.96</v>
      </c>
      <c r="H27" s="105">
        <f t="shared" si="0"/>
        <v>94.41769020972444</v>
      </c>
    </row>
    <row r="28" spans="1:8" ht="72" customHeight="1">
      <c r="A28" s="53" t="s">
        <v>291</v>
      </c>
      <c r="B28" s="4" t="s">
        <v>292</v>
      </c>
      <c r="C28" s="4">
        <v>200</v>
      </c>
      <c r="D28" s="13"/>
      <c r="E28" s="13">
        <f>307995.69+3111.07</f>
        <v>311106.76</v>
      </c>
      <c r="F28" s="83">
        <f t="shared" si="2"/>
        <v>311106.76</v>
      </c>
      <c r="G28" s="13">
        <v>311106.76</v>
      </c>
      <c r="H28" s="105">
        <f t="shared" si="0"/>
        <v>100</v>
      </c>
    </row>
    <row r="29" spans="1:8" ht="31.5" customHeight="1">
      <c r="A29" s="46" t="s">
        <v>333</v>
      </c>
      <c r="B29" s="32" t="s">
        <v>334</v>
      </c>
      <c r="C29" s="32"/>
      <c r="D29" s="35">
        <f>SUM(D30:D36)</f>
        <v>5159968</v>
      </c>
      <c r="E29" s="35">
        <f>SUM(E30:E36)</f>
        <v>43011.09000000003</v>
      </c>
      <c r="F29" s="92">
        <f>SUM(F30:F36)</f>
        <v>5202979.09</v>
      </c>
      <c r="G29" s="92">
        <f>SUM(G30:G36)</f>
        <v>5029164.96</v>
      </c>
      <c r="H29" s="107">
        <f t="shared" si="0"/>
        <v>96.65933445064067</v>
      </c>
    </row>
    <row r="30" spans="1:8" ht="79.5" customHeight="1">
      <c r="A30" s="47" t="s">
        <v>164</v>
      </c>
      <c r="B30" s="4" t="s">
        <v>324</v>
      </c>
      <c r="C30" s="4">
        <v>100</v>
      </c>
      <c r="D30" s="13">
        <v>3161139.14</v>
      </c>
      <c r="E30" s="13">
        <f>-240000+5591.94+36904.26</f>
        <v>-197503.8</v>
      </c>
      <c r="F30" s="83">
        <f aca="true" t="shared" si="3" ref="F30:F36">D30+E30</f>
        <v>2963635.3400000003</v>
      </c>
      <c r="G30" s="13">
        <v>2876604.75</v>
      </c>
      <c r="H30" s="105">
        <f t="shared" si="0"/>
        <v>97.06338398569642</v>
      </c>
    </row>
    <row r="31" spans="1:8" ht="48" customHeight="1">
      <c r="A31" s="47" t="s">
        <v>378</v>
      </c>
      <c r="B31" s="4" t="s">
        <v>324</v>
      </c>
      <c r="C31" s="4">
        <v>200</v>
      </c>
      <c r="D31" s="13">
        <v>669964.72</v>
      </c>
      <c r="E31" s="13">
        <f>-42452.86+15736</f>
        <v>-26716.86</v>
      </c>
      <c r="F31" s="83">
        <f t="shared" si="3"/>
        <v>643247.86</v>
      </c>
      <c r="G31" s="13">
        <v>557811.32</v>
      </c>
      <c r="H31" s="105">
        <f t="shared" si="0"/>
        <v>86.71794415297394</v>
      </c>
    </row>
    <row r="32" spans="1:8" ht="33.75" customHeight="1">
      <c r="A32" s="47" t="s">
        <v>86</v>
      </c>
      <c r="B32" s="4" t="s">
        <v>324</v>
      </c>
      <c r="C32" s="4">
        <v>800</v>
      </c>
      <c r="D32" s="13">
        <v>9474</v>
      </c>
      <c r="E32" s="13">
        <v>1064</v>
      </c>
      <c r="F32" s="83">
        <f t="shared" si="3"/>
        <v>10538</v>
      </c>
      <c r="G32" s="13">
        <v>10538</v>
      </c>
      <c r="H32" s="105">
        <f t="shared" si="0"/>
        <v>100</v>
      </c>
    </row>
    <row r="33" spans="1:8" ht="47.25" customHeight="1">
      <c r="A33" s="47" t="s">
        <v>75</v>
      </c>
      <c r="B33" s="4" t="s">
        <v>30</v>
      </c>
      <c r="C33" s="4">
        <v>200</v>
      </c>
      <c r="D33" s="13">
        <v>30357</v>
      </c>
      <c r="E33" s="13">
        <v>-373</v>
      </c>
      <c r="F33" s="83">
        <f t="shared" si="3"/>
        <v>29984</v>
      </c>
      <c r="G33" s="13">
        <v>28637</v>
      </c>
      <c r="H33" s="105">
        <f t="shared" si="0"/>
        <v>95.50760405549626</v>
      </c>
    </row>
    <row r="34" spans="1:8" ht="47.25" customHeight="1">
      <c r="A34" s="52" t="s">
        <v>37</v>
      </c>
      <c r="B34" s="4" t="s">
        <v>39</v>
      </c>
      <c r="C34" s="4">
        <v>200</v>
      </c>
      <c r="D34" s="13">
        <v>505050.51</v>
      </c>
      <c r="E34" s="13"/>
      <c r="F34" s="83">
        <f t="shared" si="3"/>
        <v>505050.51</v>
      </c>
      <c r="G34" s="13">
        <v>505050.51</v>
      </c>
      <c r="H34" s="105">
        <f t="shared" si="0"/>
        <v>100</v>
      </c>
    </row>
    <row r="35" spans="1:8" ht="81.75" customHeight="1">
      <c r="A35" s="47" t="s">
        <v>42</v>
      </c>
      <c r="B35" s="4" t="s">
        <v>290</v>
      </c>
      <c r="C35" s="4">
        <v>100</v>
      </c>
      <c r="D35" s="13">
        <v>774574.84</v>
      </c>
      <c r="E35" s="13">
        <v>263342.26</v>
      </c>
      <c r="F35" s="83">
        <f t="shared" si="3"/>
        <v>1037917.1</v>
      </c>
      <c r="G35" s="13">
        <v>1037917.1</v>
      </c>
      <c r="H35" s="105">
        <f t="shared" si="0"/>
        <v>100</v>
      </c>
    </row>
    <row r="36" spans="1:8" ht="78.75" customHeight="1">
      <c r="A36" s="47" t="s">
        <v>244</v>
      </c>
      <c r="B36" s="4" t="s">
        <v>325</v>
      </c>
      <c r="C36" s="4">
        <v>100</v>
      </c>
      <c r="D36" s="13">
        <v>9407.79</v>
      </c>
      <c r="E36" s="13">
        <v>3198.49</v>
      </c>
      <c r="F36" s="83">
        <f t="shared" si="3"/>
        <v>12606.28</v>
      </c>
      <c r="G36" s="13">
        <v>12606.28</v>
      </c>
      <c r="H36" s="105">
        <f t="shared" si="0"/>
        <v>100</v>
      </c>
    </row>
    <row r="37" spans="1:8" ht="44.25" customHeight="1">
      <c r="A37" s="46" t="s">
        <v>462</v>
      </c>
      <c r="B37" s="32" t="s">
        <v>446</v>
      </c>
      <c r="C37" s="32"/>
      <c r="D37" s="35">
        <f>SUM(D38:D42)</f>
        <v>426424.22</v>
      </c>
      <c r="E37" s="35">
        <f>SUM(E38:E42)</f>
        <v>-71488.07</v>
      </c>
      <c r="F37" s="92">
        <f>SUM(F38:F42)</f>
        <v>354936.15</v>
      </c>
      <c r="G37" s="92">
        <f>SUM(G38:G42)</f>
        <v>339514.92</v>
      </c>
      <c r="H37" s="107">
        <f t="shared" si="0"/>
        <v>95.65521009905584</v>
      </c>
    </row>
    <row r="38" spans="1:8" ht="53.25" customHeight="1">
      <c r="A38" s="47" t="s">
        <v>9</v>
      </c>
      <c r="B38" s="4" t="s">
        <v>8</v>
      </c>
      <c r="C38" s="4">
        <v>200</v>
      </c>
      <c r="D38" s="13">
        <v>61762.22</v>
      </c>
      <c r="E38" s="13">
        <f>-4170-2100-2000-3860</f>
        <v>-12130</v>
      </c>
      <c r="F38" s="83">
        <f>D38+E38</f>
        <v>49632.22</v>
      </c>
      <c r="G38" s="13">
        <v>49632.22</v>
      </c>
      <c r="H38" s="105">
        <f t="shared" si="0"/>
        <v>100</v>
      </c>
    </row>
    <row r="39" spans="1:8" ht="77.25" customHeight="1">
      <c r="A39" s="65" t="s">
        <v>245</v>
      </c>
      <c r="B39" s="4" t="s">
        <v>317</v>
      </c>
      <c r="C39" s="4">
        <v>100</v>
      </c>
      <c r="D39" s="13">
        <f>62500+78116</f>
        <v>140616</v>
      </c>
      <c r="E39" s="13">
        <f>-3919.68-26894.84-28543.55</f>
        <v>-59358.07</v>
      </c>
      <c r="F39" s="83">
        <f>D39+E39</f>
        <v>81257.93</v>
      </c>
      <c r="G39" s="13">
        <v>79336.7</v>
      </c>
      <c r="H39" s="105">
        <f t="shared" si="0"/>
        <v>97.63563999230598</v>
      </c>
    </row>
    <row r="40" spans="1:8" ht="33" customHeight="1">
      <c r="A40" s="47" t="s">
        <v>488</v>
      </c>
      <c r="B40" s="7" t="s">
        <v>490</v>
      </c>
      <c r="C40" s="4">
        <v>300</v>
      </c>
      <c r="D40" s="13">
        <v>24000</v>
      </c>
      <c r="E40" s="13"/>
      <c r="F40" s="83">
        <f>D40+E40</f>
        <v>24000</v>
      </c>
      <c r="G40" s="13">
        <v>24000</v>
      </c>
      <c r="H40" s="105">
        <f t="shared" si="0"/>
        <v>100</v>
      </c>
    </row>
    <row r="41" spans="1:8" ht="47.25" customHeight="1">
      <c r="A41" s="66" t="s">
        <v>489</v>
      </c>
      <c r="B41" s="4" t="s">
        <v>491</v>
      </c>
      <c r="C41" s="4">
        <v>300</v>
      </c>
      <c r="D41" s="13">
        <v>20000</v>
      </c>
      <c r="E41" s="13"/>
      <c r="F41" s="83">
        <f>D41+E41</f>
        <v>20000</v>
      </c>
      <c r="G41" s="13">
        <v>6500</v>
      </c>
      <c r="H41" s="105">
        <f t="shared" si="0"/>
        <v>32.5</v>
      </c>
    </row>
    <row r="42" spans="1:8" ht="49.5" customHeight="1">
      <c r="A42" s="69" t="s">
        <v>76</v>
      </c>
      <c r="B42" s="4" t="s">
        <v>447</v>
      </c>
      <c r="C42" s="4">
        <v>200</v>
      </c>
      <c r="D42" s="13">
        <v>180046</v>
      </c>
      <c r="E42" s="13"/>
      <c r="F42" s="83">
        <f>D42+E42</f>
        <v>180046</v>
      </c>
      <c r="G42" s="13">
        <v>180046</v>
      </c>
      <c r="H42" s="105">
        <f t="shared" si="0"/>
        <v>100</v>
      </c>
    </row>
    <row r="43" spans="1:8" ht="18" customHeight="1">
      <c r="A43" s="46" t="s">
        <v>370</v>
      </c>
      <c r="B43" s="32" t="s">
        <v>371</v>
      </c>
      <c r="C43" s="32"/>
      <c r="D43" s="35">
        <f>SUM(D44:D45)</f>
        <v>423992</v>
      </c>
      <c r="E43" s="35">
        <f>SUM(E44:E45)</f>
        <v>0</v>
      </c>
      <c r="F43" s="92">
        <f>SUM(F44:F45)</f>
        <v>423992</v>
      </c>
      <c r="G43" s="92">
        <f>SUM(G44:G45)</f>
        <v>423992</v>
      </c>
      <c r="H43" s="107">
        <f t="shared" si="0"/>
        <v>100</v>
      </c>
    </row>
    <row r="44" spans="1:8" ht="32.25" customHeight="1">
      <c r="A44" s="47" t="s">
        <v>316</v>
      </c>
      <c r="B44" s="4" t="s">
        <v>318</v>
      </c>
      <c r="C44" s="4">
        <v>200</v>
      </c>
      <c r="D44" s="13">
        <v>156032</v>
      </c>
      <c r="E44" s="13"/>
      <c r="F44" s="83">
        <f>D44+E44</f>
        <v>156032</v>
      </c>
      <c r="G44" s="13">
        <v>156032</v>
      </c>
      <c r="H44" s="105">
        <f t="shared" si="0"/>
        <v>100</v>
      </c>
    </row>
    <row r="45" spans="1:8" ht="31.5" customHeight="1">
      <c r="A45" s="47" t="s">
        <v>281</v>
      </c>
      <c r="B45" s="5" t="s">
        <v>282</v>
      </c>
      <c r="C45" s="4">
        <v>200</v>
      </c>
      <c r="D45" s="13">
        <v>267960</v>
      </c>
      <c r="E45" s="13"/>
      <c r="F45" s="83">
        <f>D45+E45</f>
        <v>267960</v>
      </c>
      <c r="G45" s="13">
        <v>267960</v>
      </c>
      <c r="H45" s="105">
        <f t="shared" si="0"/>
        <v>100</v>
      </c>
    </row>
    <row r="46" spans="1:8" ht="46.5" customHeight="1">
      <c r="A46" s="46" t="s">
        <v>372</v>
      </c>
      <c r="B46" s="32" t="s">
        <v>373</v>
      </c>
      <c r="C46" s="32"/>
      <c r="D46" s="35">
        <f>SUM(D47:D48)</f>
        <v>351200</v>
      </c>
      <c r="E46" s="35">
        <f>SUM(E47:E48)</f>
        <v>-180640</v>
      </c>
      <c r="F46" s="92">
        <f>SUM(F47:F48)</f>
        <v>170560</v>
      </c>
      <c r="G46" s="92">
        <f>SUM(G47:G48)</f>
        <v>170560</v>
      </c>
      <c r="H46" s="107">
        <f t="shared" si="0"/>
        <v>100</v>
      </c>
    </row>
    <row r="47" spans="1:8" ht="31.5" customHeight="1">
      <c r="A47" s="47" t="s">
        <v>394</v>
      </c>
      <c r="B47" s="4" t="s">
        <v>395</v>
      </c>
      <c r="C47" s="4">
        <v>300</v>
      </c>
      <c r="D47" s="14">
        <v>41200</v>
      </c>
      <c r="E47" s="14"/>
      <c r="F47" s="83">
        <f>D47+E47</f>
        <v>41200</v>
      </c>
      <c r="G47" s="13">
        <v>41200</v>
      </c>
      <c r="H47" s="105">
        <f t="shared" si="0"/>
        <v>100</v>
      </c>
    </row>
    <row r="48" spans="1:8" ht="78.75" customHeight="1">
      <c r="A48" s="48" t="s">
        <v>77</v>
      </c>
      <c r="B48" s="42" t="s">
        <v>417</v>
      </c>
      <c r="C48" s="4">
        <v>200</v>
      </c>
      <c r="D48" s="13">
        <v>310000</v>
      </c>
      <c r="E48" s="13">
        <v>-180640</v>
      </c>
      <c r="F48" s="83">
        <f>D48+E48</f>
        <v>129360</v>
      </c>
      <c r="G48" s="13">
        <v>129360</v>
      </c>
      <c r="H48" s="105">
        <f t="shared" si="0"/>
        <v>100</v>
      </c>
    </row>
    <row r="49" spans="1:8" ht="31.5" customHeight="1">
      <c r="A49" s="46" t="s">
        <v>374</v>
      </c>
      <c r="B49" s="32" t="s">
        <v>375</v>
      </c>
      <c r="C49" s="32"/>
      <c r="D49" s="35">
        <f>SUM(D50:D55)</f>
        <v>151673.5</v>
      </c>
      <c r="E49" s="35">
        <f>SUM(E50:E55)</f>
        <v>0</v>
      </c>
      <c r="F49" s="92">
        <f>SUM(F50:F55)</f>
        <v>151673.5</v>
      </c>
      <c r="G49" s="92">
        <f>SUM(G50:G55)</f>
        <v>137240.22</v>
      </c>
      <c r="H49" s="107">
        <f t="shared" si="0"/>
        <v>90.48398039209222</v>
      </c>
    </row>
    <row r="50" spans="1:8" ht="46.5" customHeight="1">
      <c r="A50" s="47" t="s">
        <v>78</v>
      </c>
      <c r="B50" s="4" t="s">
        <v>57</v>
      </c>
      <c r="C50" s="4">
        <v>200</v>
      </c>
      <c r="D50" s="13">
        <v>8800</v>
      </c>
      <c r="E50" s="13"/>
      <c r="F50" s="83">
        <f aca="true" t="shared" si="4" ref="F50:F55">D50+E50</f>
        <v>8800</v>
      </c>
      <c r="G50" s="13">
        <v>8800</v>
      </c>
      <c r="H50" s="105">
        <f t="shared" si="0"/>
        <v>100</v>
      </c>
    </row>
    <row r="51" spans="1:8" ht="48" customHeight="1">
      <c r="A51" s="47" t="s">
        <v>85</v>
      </c>
      <c r="B51" s="4" t="s">
        <v>58</v>
      </c>
      <c r="C51" s="4">
        <v>200</v>
      </c>
      <c r="D51" s="13">
        <v>54336.5</v>
      </c>
      <c r="E51" s="13"/>
      <c r="F51" s="83">
        <f t="shared" si="4"/>
        <v>54336.5</v>
      </c>
      <c r="G51" s="13">
        <v>43593.22</v>
      </c>
      <c r="H51" s="105">
        <f t="shared" si="0"/>
        <v>80.2282443661259</v>
      </c>
    </row>
    <row r="52" spans="1:8" ht="63.75" customHeight="1">
      <c r="A52" s="47" t="s">
        <v>165</v>
      </c>
      <c r="B52" s="4" t="s">
        <v>332</v>
      </c>
      <c r="C52" s="4">
        <v>200</v>
      </c>
      <c r="D52" s="13">
        <v>11300</v>
      </c>
      <c r="E52" s="13"/>
      <c r="F52" s="83">
        <f t="shared" si="4"/>
        <v>11300</v>
      </c>
      <c r="G52" s="13">
        <v>11135</v>
      </c>
      <c r="H52" s="105">
        <f t="shared" si="0"/>
        <v>98.53982300884955</v>
      </c>
    </row>
    <row r="53" spans="1:8" ht="47.25" customHeight="1">
      <c r="A53" s="47" t="s">
        <v>79</v>
      </c>
      <c r="B53" s="4" t="s">
        <v>54</v>
      </c>
      <c r="C53" s="4">
        <v>200</v>
      </c>
      <c r="D53" s="13">
        <v>7400</v>
      </c>
      <c r="E53" s="13"/>
      <c r="F53" s="83">
        <f t="shared" si="4"/>
        <v>7400</v>
      </c>
      <c r="G53" s="13">
        <v>5525</v>
      </c>
      <c r="H53" s="105">
        <f t="shared" si="0"/>
        <v>74.66216216216216</v>
      </c>
    </row>
    <row r="54" spans="1:8" ht="33" customHeight="1">
      <c r="A54" s="47" t="s">
        <v>80</v>
      </c>
      <c r="B54" s="4" t="s">
        <v>480</v>
      </c>
      <c r="C54" s="4">
        <v>200</v>
      </c>
      <c r="D54" s="13">
        <v>13000</v>
      </c>
      <c r="E54" s="13"/>
      <c r="F54" s="83">
        <f t="shared" si="4"/>
        <v>13000</v>
      </c>
      <c r="G54" s="13">
        <v>13000</v>
      </c>
      <c r="H54" s="105">
        <f t="shared" si="0"/>
        <v>100</v>
      </c>
    </row>
    <row r="55" spans="1:8" ht="32.25" customHeight="1">
      <c r="A55" s="47" t="s">
        <v>81</v>
      </c>
      <c r="B55" s="4" t="s">
        <v>55</v>
      </c>
      <c r="C55" s="4">
        <v>200</v>
      </c>
      <c r="D55" s="13">
        <v>56837</v>
      </c>
      <c r="E55" s="13"/>
      <c r="F55" s="83">
        <f t="shared" si="4"/>
        <v>56837</v>
      </c>
      <c r="G55" s="13">
        <v>55187</v>
      </c>
      <c r="H55" s="105">
        <f t="shared" si="0"/>
        <v>97.09696148635571</v>
      </c>
    </row>
    <row r="56" spans="1:8" ht="32.25" customHeight="1">
      <c r="A56" s="46" t="s">
        <v>376</v>
      </c>
      <c r="B56" s="32" t="s">
        <v>377</v>
      </c>
      <c r="C56" s="32"/>
      <c r="D56" s="35">
        <f>SUM(D57:D62)</f>
        <v>4998986.52</v>
      </c>
      <c r="E56" s="35">
        <f>SUM(E57:E62)</f>
        <v>-819584.1799999999</v>
      </c>
      <c r="F56" s="92">
        <f>SUM(F57:F62)</f>
        <v>4179402.34</v>
      </c>
      <c r="G56" s="92">
        <f>SUM(G57:G62)</f>
        <v>3760467.1399999997</v>
      </c>
      <c r="H56" s="107">
        <f t="shared" si="0"/>
        <v>89.97619358178375</v>
      </c>
    </row>
    <row r="57" spans="1:8" ht="63" customHeight="1">
      <c r="A57" s="55" t="s">
        <v>225</v>
      </c>
      <c r="B57" s="4" t="s">
        <v>111</v>
      </c>
      <c r="C57" s="4">
        <v>200</v>
      </c>
      <c r="D57" s="13">
        <v>261606.4</v>
      </c>
      <c r="E57" s="13"/>
      <c r="F57" s="83">
        <f aca="true" t="shared" si="5" ref="F57:F62">D57+E57</f>
        <v>261606.4</v>
      </c>
      <c r="G57" s="13">
        <v>261606.4</v>
      </c>
      <c r="H57" s="105">
        <f t="shared" si="0"/>
        <v>100</v>
      </c>
    </row>
    <row r="58" spans="1:8" ht="63" customHeight="1">
      <c r="A58" s="55" t="s">
        <v>247</v>
      </c>
      <c r="B58" s="4" t="s">
        <v>345</v>
      </c>
      <c r="C58" s="4">
        <v>200</v>
      </c>
      <c r="D58" s="13">
        <v>1509202.08</v>
      </c>
      <c r="E58" s="13"/>
      <c r="F58" s="83">
        <f t="shared" si="5"/>
        <v>1509202.08</v>
      </c>
      <c r="G58" s="13">
        <v>1331655.88</v>
      </c>
      <c r="H58" s="105">
        <f t="shared" si="0"/>
        <v>88.23575700346238</v>
      </c>
    </row>
    <row r="59" spans="1:8" ht="80.25" customHeight="1">
      <c r="A59" s="47" t="s">
        <v>40</v>
      </c>
      <c r="B59" s="4" t="s">
        <v>41</v>
      </c>
      <c r="C59" s="4">
        <v>200</v>
      </c>
      <c r="D59" s="13">
        <v>36345</v>
      </c>
      <c r="E59" s="13"/>
      <c r="F59" s="83">
        <f t="shared" si="5"/>
        <v>36345</v>
      </c>
      <c r="G59" s="13">
        <v>36345</v>
      </c>
      <c r="H59" s="105">
        <f t="shared" si="0"/>
        <v>100</v>
      </c>
    </row>
    <row r="60" spans="1:8" ht="95.25" customHeight="1">
      <c r="A60" s="47" t="s">
        <v>28</v>
      </c>
      <c r="B60" s="4" t="s">
        <v>56</v>
      </c>
      <c r="C60" s="4">
        <v>200</v>
      </c>
      <c r="D60" s="13">
        <v>316921</v>
      </c>
      <c r="E60" s="13"/>
      <c r="F60" s="83">
        <f t="shared" si="5"/>
        <v>316921</v>
      </c>
      <c r="G60" s="13">
        <v>201677</v>
      </c>
      <c r="H60" s="105">
        <f t="shared" si="0"/>
        <v>63.63636363636363</v>
      </c>
    </row>
    <row r="61" spans="1:8" ht="63" customHeight="1">
      <c r="A61" s="47" t="s">
        <v>326</v>
      </c>
      <c r="B61" s="4" t="s">
        <v>327</v>
      </c>
      <c r="C61" s="4">
        <v>300</v>
      </c>
      <c r="D61" s="13">
        <v>909556.35</v>
      </c>
      <c r="E61" s="13">
        <v>-398476.49</v>
      </c>
      <c r="F61" s="83">
        <f t="shared" si="5"/>
        <v>511079.86</v>
      </c>
      <c r="G61" s="13">
        <v>511079.86</v>
      </c>
      <c r="H61" s="105">
        <f t="shared" si="0"/>
        <v>100</v>
      </c>
    </row>
    <row r="62" spans="1:8" ht="62.25" customHeight="1">
      <c r="A62" s="47" t="s">
        <v>443</v>
      </c>
      <c r="B62" s="4" t="s">
        <v>323</v>
      </c>
      <c r="C62" s="4">
        <v>200</v>
      </c>
      <c r="D62" s="13">
        <v>1965355.69</v>
      </c>
      <c r="E62" s="13">
        <f>-28131.64-49500-189724.44-72786.53-80965.08</f>
        <v>-421107.69</v>
      </c>
      <c r="F62" s="83">
        <f t="shared" si="5"/>
        <v>1544248</v>
      </c>
      <c r="G62" s="13">
        <v>1418103</v>
      </c>
      <c r="H62" s="105">
        <f t="shared" si="0"/>
        <v>91.83129911775829</v>
      </c>
    </row>
    <row r="63" spans="1:8" ht="33" customHeight="1">
      <c r="A63" s="46" t="s">
        <v>17</v>
      </c>
      <c r="B63" s="32" t="s">
        <v>18</v>
      </c>
      <c r="C63" s="32"/>
      <c r="D63" s="35">
        <f>SUM(D64:D66)</f>
        <v>3691061.21</v>
      </c>
      <c r="E63" s="35">
        <f>SUM(E64:E66)</f>
        <v>-184011.81</v>
      </c>
      <c r="F63" s="92">
        <f>SUM(F64:F66)</f>
        <v>3507049.4000000004</v>
      </c>
      <c r="G63" s="92">
        <f>SUM(G64:G66)</f>
        <v>3459138.7199999997</v>
      </c>
      <c r="H63" s="107">
        <f t="shared" si="0"/>
        <v>98.63387496052948</v>
      </c>
    </row>
    <row r="64" spans="1:8" ht="79.5" customHeight="1">
      <c r="A64" s="47" t="s">
        <v>335</v>
      </c>
      <c r="B64" s="4" t="s">
        <v>237</v>
      </c>
      <c r="C64" s="4">
        <v>100</v>
      </c>
      <c r="D64" s="13">
        <v>2964064</v>
      </c>
      <c r="E64" s="13">
        <f>-57756.09+5204.8-22004.8</f>
        <v>-74556.09</v>
      </c>
      <c r="F64" s="83">
        <f>D64+E64</f>
        <v>2889507.91</v>
      </c>
      <c r="G64" s="13">
        <v>2888074.28</v>
      </c>
      <c r="H64" s="105">
        <f t="shared" si="0"/>
        <v>99.95038497748911</v>
      </c>
    </row>
    <row r="65" spans="1:8" ht="48.75" customHeight="1">
      <c r="A65" s="47" t="s">
        <v>336</v>
      </c>
      <c r="B65" s="4" t="s">
        <v>237</v>
      </c>
      <c r="C65" s="4">
        <v>200</v>
      </c>
      <c r="D65" s="13">
        <v>720997.21</v>
      </c>
      <c r="E65" s="13">
        <f>-114660.52+5204.8</f>
        <v>-109455.72</v>
      </c>
      <c r="F65" s="83">
        <f>D65+E65</f>
        <v>611541.49</v>
      </c>
      <c r="G65" s="13">
        <v>565064.44</v>
      </c>
      <c r="H65" s="105">
        <f t="shared" si="0"/>
        <v>92.40001688192898</v>
      </c>
    </row>
    <row r="66" spans="1:8" ht="47.25" customHeight="1">
      <c r="A66" s="47" t="s">
        <v>482</v>
      </c>
      <c r="B66" s="4" t="s">
        <v>237</v>
      </c>
      <c r="C66" s="4">
        <v>800</v>
      </c>
      <c r="D66" s="13">
        <v>6000</v>
      </c>
      <c r="E66" s="13"/>
      <c r="F66" s="83">
        <f>D66+E66</f>
        <v>6000</v>
      </c>
      <c r="G66" s="13">
        <v>6000</v>
      </c>
      <c r="H66" s="105">
        <f t="shared" si="0"/>
        <v>100</v>
      </c>
    </row>
    <row r="67" spans="1:8" ht="25.5" customHeight="1">
      <c r="A67" s="46" t="s">
        <v>184</v>
      </c>
      <c r="B67" s="32" t="s">
        <v>183</v>
      </c>
      <c r="C67" s="32"/>
      <c r="D67" s="35">
        <f>D68</f>
        <v>1117171.53</v>
      </c>
      <c r="E67" s="35">
        <f>E68</f>
        <v>0</v>
      </c>
      <c r="F67" s="92">
        <f>F68</f>
        <v>1117171.53</v>
      </c>
      <c r="G67" s="92">
        <f>G68</f>
        <v>929430.59</v>
      </c>
      <c r="H67" s="107">
        <f t="shared" si="0"/>
        <v>83.1949763345652</v>
      </c>
    </row>
    <row r="68" spans="1:8" ht="79.5" customHeight="1">
      <c r="A68" s="53" t="s">
        <v>226</v>
      </c>
      <c r="B68" s="4" t="s">
        <v>224</v>
      </c>
      <c r="C68" s="4">
        <v>200</v>
      </c>
      <c r="D68" s="13">
        <v>1117171.53</v>
      </c>
      <c r="E68" s="13"/>
      <c r="F68" s="83">
        <f>D68+E68</f>
        <v>1117171.53</v>
      </c>
      <c r="G68" s="13">
        <v>929430.59</v>
      </c>
      <c r="H68" s="105">
        <f t="shared" si="0"/>
        <v>83.1949763345652</v>
      </c>
    </row>
    <row r="69" spans="1:8" s="19" customFormat="1" ht="39" customHeight="1">
      <c r="A69" s="17" t="s">
        <v>368</v>
      </c>
      <c r="B69" s="18" t="s">
        <v>108</v>
      </c>
      <c r="C69" s="18"/>
      <c r="D69" s="20">
        <f>D70+D77+D89+D99+D105+D108+D112</f>
        <v>48419550.97</v>
      </c>
      <c r="E69" s="20">
        <f>E70+E77+E89+E99+E105+E108+E112</f>
        <v>-1019946.2499999999</v>
      </c>
      <c r="F69" s="93">
        <f>F70+F77+F89+F99+F105+F108+F112</f>
        <v>47399604.72</v>
      </c>
      <c r="G69" s="93">
        <f>G70+G77+G89+G99+G105+G108+G112</f>
        <v>46391145.33</v>
      </c>
      <c r="H69" s="109">
        <f aca="true" t="shared" si="6" ref="H69:H132">G69/F69*100</f>
        <v>97.87243080199256</v>
      </c>
    </row>
    <row r="70" spans="1:8" s="19" customFormat="1" ht="63" customHeight="1">
      <c r="A70" s="49" t="s">
        <v>144</v>
      </c>
      <c r="B70" s="32" t="s">
        <v>145</v>
      </c>
      <c r="C70" s="32"/>
      <c r="D70" s="34">
        <f>SUM(D71:D76)</f>
        <v>7999937.62</v>
      </c>
      <c r="E70" s="34">
        <f>SUM(E71:E76)</f>
        <v>113856.72000000003</v>
      </c>
      <c r="F70" s="91">
        <f>SUM(F71:F76)</f>
        <v>8113794.340000001</v>
      </c>
      <c r="G70" s="91">
        <f>SUM(G71:G76)</f>
        <v>7592107.38</v>
      </c>
      <c r="H70" s="107">
        <f t="shared" si="6"/>
        <v>93.5703699386593</v>
      </c>
    </row>
    <row r="71" spans="1:8" ht="81" customHeight="1">
      <c r="A71" s="50" t="s">
        <v>465</v>
      </c>
      <c r="B71" s="4" t="s">
        <v>109</v>
      </c>
      <c r="C71" s="4">
        <v>100</v>
      </c>
      <c r="D71" s="13">
        <v>3802622</v>
      </c>
      <c r="E71" s="13">
        <f>-330152.14+270000-22088.21-3111.07-10027.5-5204.8-36904.26-0.01-1725-170000-26487.6</f>
        <v>-335700.58999999997</v>
      </c>
      <c r="F71" s="83">
        <f aca="true" t="shared" si="7" ref="F71:F76">D71+E71</f>
        <v>3466921.41</v>
      </c>
      <c r="G71" s="13">
        <v>3438900.42</v>
      </c>
      <c r="H71" s="105">
        <f t="shared" si="6"/>
        <v>99.19176160384899</v>
      </c>
    </row>
    <row r="72" spans="1:8" ht="47.25" customHeight="1">
      <c r="A72" s="50" t="s">
        <v>166</v>
      </c>
      <c r="B72" s="4" t="s">
        <v>109</v>
      </c>
      <c r="C72" s="4">
        <v>200</v>
      </c>
      <c r="D72" s="13">
        <v>2055126.62</v>
      </c>
      <c r="E72" s="14">
        <f>10027.5+24327.6</f>
        <v>34355.1</v>
      </c>
      <c r="F72" s="83">
        <f t="shared" si="7"/>
        <v>2089481.7200000002</v>
      </c>
      <c r="G72" s="13">
        <v>1598994.75</v>
      </c>
      <c r="H72" s="105">
        <f t="shared" si="6"/>
        <v>76.52590279660355</v>
      </c>
    </row>
    <row r="73" spans="1:8" ht="48.75" customHeight="1">
      <c r="A73" s="50" t="s">
        <v>250</v>
      </c>
      <c r="B73" s="4" t="s">
        <v>109</v>
      </c>
      <c r="C73" s="4">
        <v>800</v>
      </c>
      <c r="D73" s="13">
        <v>48250</v>
      </c>
      <c r="E73" s="13">
        <v>2160</v>
      </c>
      <c r="F73" s="83">
        <f t="shared" si="7"/>
        <v>50410</v>
      </c>
      <c r="G73" s="13">
        <v>49410</v>
      </c>
      <c r="H73" s="105">
        <f t="shared" si="6"/>
        <v>98.01626661376712</v>
      </c>
    </row>
    <row r="74" spans="1:8" ht="48.75" customHeight="1">
      <c r="A74" s="47" t="s">
        <v>75</v>
      </c>
      <c r="B74" s="4" t="s">
        <v>29</v>
      </c>
      <c r="C74" s="4">
        <v>200</v>
      </c>
      <c r="D74" s="13">
        <v>89858</v>
      </c>
      <c r="E74" s="13">
        <v>-8400</v>
      </c>
      <c r="F74" s="83">
        <f t="shared" si="7"/>
        <v>81458</v>
      </c>
      <c r="G74" s="13">
        <v>79279</v>
      </c>
      <c r="H74" s="105">
        <f t="shared" si="6"/>
        <v>97.32500184143976</v>
      </c>
    </row>
    <row r="75" spans="1:8" ht="79.5" customHeight="1">
      <c r="A75" s="47" t="s">
        <v>246</v>
      </c>
      <c r="B75" s="4" t="s">
        <v>110</v>
      </c>
      <c r="C75" s="4">
        <v>100</v>
      </c>
      <c r="D75" s="13">
        <v>104039</v>
      </c>
      <c r="E75" s="13">
        <v>22088.21</v>
      </c>
      <c r="F75" s="83">
        <f t="shared" si="7"/>
        <v>126127.20999999999</v>
      </c>
      <c r="G75" s="13">
        <v>126127.21</v>
      </c>
      <c r="H75" s="105">
        <f t="shared" si="6"/>
        <v>100.00000000000003</v>
      </c>
    </row>
    <row r="76" spans="1:8" ht="96" customHeight="1">
      <c r="A76" s="47" t="s">
        <v>167</v>
      </c>
      <c r="B76" s="4" t="s">
        <v>35</v>
      </c>
      <c r="C76" s="4">
        <v>100</v>
      </c>
      <c r="D76" s="13">
        <v>1900042</v>
      </c>
      <c r="E76" s="13">
        <v>399354</v>
      </c>
      <c r="F76" s="83">
        <f t="shared" si="7"/>
        <v>2299396</v>
      </c>
      <c r="G76" s="13">
        <v>2299396</v>
      </c>
      <c r="H76" s="105">
        <f t="shared" si="6"/>
        <v>100</v>
      </c>
    </row>
    <row r="77" spans="1:8" ht="30" customHeight="1">
      <c r="A77" s="46" t="s">
        <v>146</v>
      </c>
      <c r="B77" s="32" t="s">
        <v>147</v>
      </c>
      <c r="C77" s="32"/>
      <c r="D77" s="35">
        <f>SUM(D78:D88)</f>
        <v>19239730.25</v>
      </c>
      <c r="E77" s="35">
        <f>SUM(E78:E88)</f>
        <v>-654514.58</v>
      </c>
      <c r="F77" s="92">
        <f>SUM(F78:F88)</f>
        <v>18585215.67</v>
      </c>
      <c r="G77" s="92">
        <f>SUM(G78:G88)</f>
        <v>18585215.67</v>
      </c>
      <c r="H77" s="107">
        <f t="shared" si="6"/>
        <v>100</v>
      </c>
    </row>
    <row r="78" spans="1:8" ht="80.25" customHeight="1">
      <c r="A78" s="50" t="s">
        <v>131</v>
      </c>
      <c r="B78" s="4" t="s">
        <v>142</v>
      </c>
      <c r="C78" s="4">
        <v>600</v>
      </c>
      <c r="D78" s="13">
        <v>9239409.73</v>
      </c>
      <c r="E78" s="13">
        <v>-654514.58</v>
      </c>
      <c r="F78" s="83">
        <f aca="true" t="shared" si="8" ref="F78:F88">D78+E78</f>
        <v>8584895.15</v>
      </c>
      <c r="G78" s="13">
        <v>8584895.15</v>
      </c>
      <c r="H78" s="105">
        <f t="shared" si="6"/>
        <v>100</v>
      </c>
    </row>
    <row r="79" spans="1:8" ht="93.75" customHeight="1">
      <c r="A79" s="62" t="s">
        <v>331</v>
      </c>
      <c r="B79" s="4" t="s">
        <v>174</v>
      </c>
      <c r="C79" s="4">
        <v>600</v>
      </c>
      <c r="D79" s="13">
        <v>73173.02</v>
      </c>
      <c r="E79" s="13"/>
      <c r="F79" s="83">
        <f t="shared" si="8"/>
        <v>73173.02</v>
      </c>
      <c r="G79" s="13">
        <v>73173.02</v>
      </c>
      <c r="H79" s="105">
        <f t="shared" si="6"/>
        <v>100</v>
      </c>
    </row>
    <row r="80" spans="1:8" ht="79.5" customHeight="1">
      <c r="A80" s="50" t="s">
        <v>133</v>
      </c>
      <c r="B80" s="4" t="s">
        <v>132</v>
      </c>
      <c r="C80" s="4">
        <v>600</v>
      </c>
      <c r="D80" s="13">
        <v>940700</v>
      </c>
      <c r="E80" s="13"/>
      <c r="F80" s="83">
        <f t="shared" si="8"/>
        <v>940700</v>
      </c>
      <c r="G80" s="13">
        <v>940700</v>
      </c>
      <c r="H80" s="105">
        <f t="shared" si="6"/>
        <v>100</v>
      </c>
    </row>
    <row r="81" spans="1:8" ht="111.75" customHeight="1">
      <c r="A81" s="50" t="s">
        <v>348</v>
      </c>
      <c r="B81" s="4" t="s">
        <v>97</v>
      </c>
      <c r="C81" s="4">
        <v>600</v>
      </c>
      <c r="D81" s="13">
        <v>12900</v>
      </c>
      <c r="E81" s="13"/>
      <c r="F81" s="83">
        <f t="shared" si="8"/>
        <v>12900</v>
      </c>
      <c r="G81" s="13">
        <v>12900</v>
      </c>
      <c r="H81" s="105">
        <f t="shared" si="6"/>
        <v>100</v>
      </c>
    </row>
    <row r="82" spans="1:8" ht="93.75" customHeight="1">
      <c r="A82" s="50" t="s">
        <v>439</v>
      </c>
      <c r="B82" s="4" t="s">
        <v>134</v>
      </c>
      <c r="C82" s="4">
        <v>600</v>
      </c>
      <c r="D82" s="13">
        <v>2276326.38</v>
      </c>
      <c r="E82" s="14"/>
      <c r="F82" s="83">
        <f t="shared" si="8"/>
        <v>2276326.38</v>
      </c>
      <c r="G82" s="13">
        <v>2276326.38</v>
      </c>
      <c r="H82" s="105">
        <f t="shared" si="6"/>
        <v>100</v>
      </c>
    </row>
    <row r="83" spans="1:8" ht="111" customHeight="1">
      <c r="A83" s="50" t="s">
        <v>24</v>
      </c>
      <c r="B83" s="4" t="s">
        <v>98</v>
      </c>
      <c r="C83" s="4">
        <v>600</v>
      </c>
      <c r="D83" s="13">
        <v>23673.62</v>
      </c>
      <c r="E83" s="13"/>
      <c r="F83" s="83">
        <f t="shared" si="8"/>
        <v>23673.62</v>
      </c>
      <c r="G83" s="13">
        <v>23673.62</v>
      </c>
      <c r="H83" s="105">
        <f t="shared" si="6"/>
        <v>100</v>
      </c>
    </row>
    <row r="84" spans="1:8" ht="93.75" customHeight="1">
      <c r="A84" s="50" t="s">
        <v>309</v>
      </c>
      <c r="B84" s="4" t="s">
        <v>440</v>
      </c>
      <c r="C84" s="4">
        <v>600</v>
      </c>
      <c r="D84" s="13">
        <v>1241939.26</v>
      </c>
      <c r="E84" s="13"/>
      <c r="F84" s="83">
        <f t="shared" si="8"/>
        <v>1241939.26</v>
      </c>
      <c r="G84" s="13">
        <v>1241939.26</v>
      </c>
      <c r="H84" s="105">
        <f t="shared" si="6"/>
        <v>100</v>
      </c>
    </row>
    <row r="85" spans="1:8" ht="109.5" customHeight="1">
      <c r="A85" s="50" t="s">
        <v>408</v>
      </c>
      <c r="B85" s="4" t="s">
        <v>99</v>
      </c>
      <c r="C85" s="4">
        <v>600</v>
      </c>
      <c r="D85" s="13">
        <v>10760.74</v>
      </c>
      <c r="E85" s="13"/>
      <c r="F85" s="83">
        <f t="shared" si="8"/>
        <v>10760.74</v>
      </c>
      <c r="G85" s="13">
        <v>10760.74</v>
      </c>
      <c r="H85" s="105">
        <f t="shared" si="6"/>
        <v>100</v>
      </c>
    </row>
    <row r="86" spans="1:8" ht="82.5" customHeight="1">
      <c r="A86" s="50" t="s">
        <v>444</v>
      </c>
      <c r="B86" s="4" t="s">
        <v>441</v>
      </c>
      <c r="C86" s="4">
        <v>600</v>
      </c>
      <c r="D86" s="13">
        <v>2673046.5</v>
      </c>
      <c r="E86" s="13"/>
      <c r="F86" s="83">
        <f t="shared" si="8"/>
        <v>2673046.5</v>
      </c>
      <c r="G86" s="13">
        <v>2673046.5</v>
      </c>
      <c r="H86" s="105">
        <f t="shared" si="6"/>
        <v>100</v>
      </c>
    </row>
    <row r="87" spans="1:8" ht="95.25" customHeight="1">
      <c r="A87" s="50" t="s">
        <v>473</v>
      </c>
      <c r="B87" s="4" t="s">
        <v>16</v>
      </c>
      <c r="C87" s="4">
        <v>600</v>
      </c>
      <c r="D87" s="13">
        <v>30130.5</v>
      </c>
      <c r="E87" s="13"/>
      <c r="F87" s="83">
        <f t="shared" si="8"/>
        <v>30130.5</v>
      </c>
      <c r="G87" s="13">
        <v>30130.5</v>
      </c>
      <c r="H87" s="105">
        <f t="shared" si="6"/>
        <v>100</v>
      </c>
    </row>
    <row r="88" spans="1:8" ht="78" customHeight="1">
      <c r="A88" s="50" t="s">
        <v>361</v>
      </c>
      <c r="B88" s="4" t="s">
        <v>362</v>
      </c>
      <c r="C88" s="4">
        <v>600</v>
      </c>
      <c r="D88" s="13">
        <v>2717670.5</v>
      </c>
      <c r="E88" s="13"/>
      <c r="F88" s="83">
        <f t="shared" si="8"/>
        <v>2717670.5</v>
      </c>
      <c r="G88" s="13">
        <v>2717670.5</v>
      </c>
      <c r="H88" s="105">
        <f t="shared" si="6"/>
        <v>100</v>
      </c>
    </row>
    <row r="89" spans="1:8" ht="32.25" customHeight="1">
      <c r="A89" s="51" t="s">
        <v>423</v>
      </c>
      <c r="B89" s="32" t="s">
        <v>424</v>
      </c>
      <c r="C89" s="32"/>
      <c r="D89" s="35">
        <f>SUM(D90:D98)</f>
        <v>8668579.63</v>
      </c>
      <c r="E89" s="35">
        <f>SUM(E90:E98)</f>
        <v>-284816.77</v>
      </c>
      <c r="F89" s="92">
        <f>SUM(F90:F98)</f>
        <v>8383762.860000001</v>
      </c>
      <c r="G89" s="92">
        <f>SUM(G90:G98)</f>
        <v>7964978.75</v>
      </c>
      <c r="H89" s="107">
        <f t="shared" si="6"/>
        <v>95.00481923220808</v>
      </c>
    </row>
    <row r="90" spans="1:8" ht="111.75" customHeight="1">
      <c r="A90" s="50" t="s">
        <v>10</v>
      </c>
      <c r="B90" s="4" t="s">
        <v>141</v>
      </c>
      <c r="C90" s="4">
        <v>100</v>
      </c>
      <c r="D90" s="13">
        <v>2999953.68</v>
      </c>
      <c r="E90" s="14">
        <f>-178826.48-41961.25</f>
        <v>-220787.73</v>
      </c>
      <c r="F90" s="83">
        <f aca="true" t="shared" si="9" ref="F90:F98">D90+E90</f>
        <v>2779165.95</v>
      </c>
      <c r="G90" s="13">
        <v>2779165.95</v>
      </c>
      <c r="H90" s="105">
        <f t="shared" si="6"/>
        <v>100</v>
      </c>
    </row>
    <row r="91" spans="1:8" ht="78.75" customHeight="1">
      <c r="A91" s="50" t="s">
        <v>82</v>
      </c>
      <c r="B91" s="4" t="s">
        <v>141</v>
      </c>
      <c r="C91" s="4">
        <v>200</v>
      </c>
      <c r="D91" s="13">
        <v>963350</v>
      </c>
      <c r="E91" s="14">
        <f>-85929.92+21396.88</f>
        <v>-64533.03999999999</v>
      </c>
      <c r="F91" s="83">
        <f t="shared" si="9"/>
        <v>898816.96</v>
      </c>
      <c r="G91" s="13">
        <v>801968.15</v>
      </c>
      <c r="H91" s="105">
        <f t="shared" si="6"/>
        <v>89.22485730576335</v>
      </c>
    </row>
    <row r="92" spans="1:8" ht="78.75" customHeight="1">
      <c r="A92" s="50" t="s">
        <v>204</v>
      </c>
      <c r="B92" s="4" t="s">
        <v>141</v>
      </c>
      <c r="C92" s="4">
        <v>800</v>
      </c>
      <c r="D92" s="13">
        <v>10600</v>
      </c>
      <c r="E92" s="14">
        <v>504</v>
      </c>
      <c r="F92" s="83">
        <f>D92+E92</f>
        <v>11104</v>
      </c>
      <c r="G92" s="13">
        <v>9708</v>
      </c>
      <c r="H92" s="105">
        <f t="shared" si="6"/>
        <v>87.42795389048992</v>
      </c>
    </row>
    <row r="93" spans="1:8" ht="126.75" customHeight="1">
      <c r="A93" s="81" t="s">
        <v>168</v>
      </c>
      <c r="B93" s="60" t="s">
        <v>442</v>
      </c>
      <c r="C93" s="4">
        <v>100</v>
      </c>
      <c r="D93" s="13">
        <v>47446.32</v>
      </c>
      <c r="E93" s="13"/>
      <c r="F93" s="83">
        <f t="shared" si="9"/>
        <v>47446.32</v>
      </c>
      <c r="G93" s="13">
        <v>47446.32</v>
      </c>
      <c r="H93" s="105">
        <f t="shared" si="6"/>
        <v>100</v>
      </c>
    </row>
    <row r="94" spans="1:8" ht="97.5" customHeight="1">
      <c r="A94" s="59" t="s">
        <v>192</v>
      </c>
      <c r="B94" s="60" t="s">
        <v>337</v>
      </c>
      <c r="C94" s="4">
        <v>100</v>
      </c>
      <c r="D94" s="13">
        <f>1626705-57760.74</f>
        <v>1568944.26</v>
      </c>
      <c r="E94" s="13"/>
      <c r="F94" s="83">
        <f t="shared" si="9"/>
        <v>1568944.26</v>
      </c>
      <c r="G94" s="13">
        <v>1534587.34</v>
      </c>
      <c r="H94" s="105">
        <f t="shared" si="6"/>
        <v>97.81018861689836</v>
      </c>
    </row>
    <row r="95" spans="1:8" ht="78.75" customHeight="1">
      <c r="A95" s="59" t="s">
        <v>169</v>
      </c>
      <c r="B95" s="60" t="s">
        <v>337</v>
      </c>
      <c r="C95" s="4">
        <v>200</v>
      </c>
      <c r="D95" s="13">
        <v>770505.65</v>
      </c>
      <c r="E95" s="13"/>
      <c r="F95" s="83">
        <f t="shared" si="9"/>
        <v>770505.65</v>
      </c>
      <c r="G95" s="13">
        <v>484323.27</v>
      </c>
      <c r="H95" s="105">
        <f t="shared" si="6"/>
        <v>62.85784795997278</v>
      </c>
    </row>
    <row r="96" spans="1:8" ht="95.25" customHeight="1">
      <c r="A96" s="59" t="s">
        <v>11</v>
      </c>
      <c r="B96" s="60" t="s">
        <v>100</v>
      </c>
      <c r="C96" s="4">
        <v>100</v>
      </c>
      <c r="D96" s="13">
        <v>57760.74</v>
      </c>
      <c r="E96" s="13"/>
      <c r="F96" s="83">
        <f t="shared" si="9"/>
        <v>57760.74</v>
      </c>
      <c r="G96" s="13">
        <v>57760.74</v>
      </c>
      <c r="H96" s="105">
        <f t="shared" si="6"/>
        <v>100</v>
      </c>
    </row>
    <row r="97" spans="1:8" ht="96" customHeight="1">
      <c r="A97" s="50" t="s">
        <v>349</v>
      </c>
      <c r="B97" s="4" t="s">
        <v>288</v>
      </c>
      <c r="C97" s="4">
        <v>100</v>
      </c>
      <c r="D97" s="13">
        <v>2200018.98</v>
      </c>
      <c r="E97" s="13"/>
      <c r="F97" s="83">
        <f t="shared" si="9"/>
        <v>2200018.98</v>
      </c>
      <c r="G97" s="13">
        <v>2200018.98</v>
      </c>
      <c r="H97" s="105">
        <f t="shared" si="6"/>
        <v>100</v>
      </c>
    </row>
    <row r="98" spans="1:8" ht="33" customHeight="1">
      <c r="A98" s="50" t="s">
        <v>190</v>
      </c>
      <c r="B98" s="4" t="s">
        <v>448</v>
      </c>
      <c r="C98" s="4">
        <v>200</v>
      </c>
      <c r="D98" s="13">
        <v>50000</v>
      </c>
      <c r="E98" s="13"/>
      <c r="F98" s="83">
        <f t="shared" si="9"/>
        <v>50000</v>
      </c>
      <c r="G98" s="13">
        <v>50000</v>
      </c>
      <c r="H98" s="105">
        <f t="shared" si="6"/>
        <v>100</v>
      </c>
    </row>
    <row r="99" spans="1:8" ht="51.75" customHeight="1">
      <c r="A99" s="46" t="s">
        <v>425</v>
      </c>
      <c r="B99" s="32" t="s">
        <v>426</v>
      </c>
      <c r="C99" s="32"/>
      <c r="D99" s="35">
        <f>SUM(D100:D104)</f>
        <v>2827492.4699999997</v>
      </c>
      <c r="E99" s="35">
        <f>SUM(E100:E104)</f>
        <v>-215035.99</v>
      </c>
      <c r="F99" s="92">
        <f>SUM(F100:F104)</f>
        <v>2612456.48</v>
      </c>
      <c r="G99" s="92">
        <f>SUM(G100:G104)</f>
        <v>2556094.9299999997</v>
      </c>
      <c r="H99" s="107">
        <f t="shared" si="6"/>
        <v>97.84258415665549</v>
      </c>
    </row>
    <row r="100" spans="1:8" ht="63.75" customHeight="1">
      <c r="A100" s="50" t="s">
        <v>185</v>
      </c>
      <c r="B100" s="4" t="s">
        <v>392</v>
      </c>
      <c r="C100" s="4">
        <v>100</v>
      </c>
      <c r="D100" s="13">
        <f>1491148-30213.19</f>
        <v>1460934.81</v>
      </c>
      <c r="E100" s="13">
        <f>-187381.83-5207.88-493.68</f>
        <v>-193083.38999999998</v>
      </c>
      <c r="F100" s="83">
        <f>D100+E100</f>
        <v>1267851.4200000002</v>
      </c>
      <c r="G100" s="13">
        <v>1265537.91</v>
      </c>
      <c r="H100" s="105">
        <f t="shared" si="6"/>
        <v>99.81752514817546</v>
      </c>
    </row>
    <row r="101" spans="1:8" ht="31.5" customHeight="1">
      <c r="A101" s="50" t="s">
        <v>186</v>
      </c>
      <c r="B101" s="4" t="s">
        <v>392</v>
      </c>
      <c r="C101" s="4">
        <v>200</v>
      </c>
      <c r="D101" s="13">
        <v>783608.95</v>
      </c>
      <c r="E101" s="13">
        <f>-27654.16+5207.88+63.68</f>
        <v>-22382.6</v>
      </c>
      <c r="F101" s="83">
        <f>D101+E101</f>
        <v>761226.35</v>
      </c>
      <c r="G101" s="13">
        <v>708178.31</v>
      </c>
      <c r="H101" s="105">
        <f t="shared" si="6"/>
        <v>93.03123965690364</v>
      </c>
    </row>
    <row r="102" spans="1:8" ht="30.75" customHeight="1">
      <c r="A102" s="50" t="s">
        <v>187</v>
      </c>
      <c r="B102" s="4" t="s">
        <v>392</v>
      </c>
      <c r="C102" s="4">
        <v>800</v>
      </c>
      <c r="D102" s="13">
        <v>35084</v>
      </c>
      <c r="E102" s="13">
        <v>430</v>
      </c>
      <c r="F102" s="83">
        <f>D102+E102</f>
        <v>35514</v>
      </c>
      <c r="G102" s="13">
        <v>34514</v>
      </c>
      <c r="H102" s="105">
        <f t="shared" si="6"/>
        <v>97.18420904432054</v>
      </c>
    </row>
    <row r="103" spans="1:8" ht="78.75" customHeight="1">
      <c r="A103" s="50" t="s">
        <v>188</v>
      </c>
      <c r="B103" s="60" t="s">
        <v>32</v>
      </c>
      <c r="C103" s="4">
        <v>100</v>
      </c>
      <c r="D103" s="13">
        <v>30213.19</v>
      </c>
      <c r="E103" s="13"/>
      <c r="F103" s="83">
        <f>D103+E103</f>
        <v>30213.19</v>
      </c>
      <c r="G103" s="13">
        <v>30213.19</v>
      </c>
      <c r="H103" s="105">
        <f t="shared" si="6"/>
        <v>100</v>
      </c>
    </row>
    <row r="104" spans="1:8" ht="94.5" customHeight="1">
      <c r="A104" s="50" t="s">
        <v>349</v>
      </c>
      <c r="B104" s="4" t="s">
        <v>289</v>
      </c>
      <c r="C104" s="4">
        <v>100</v>
      </c>
      <c r="D104" s="13">
        <v>517651.52</v>
      </c>
      <c r="E104" s="13"/>
      <c r="F104" s="83">
        <f>D104+E104</f>
        <v>517651.52</v>
      </c>
      <c r="G104" s="13">
        <v>517651.52</v>
      </c>
      <c r="H104" s="105">
        <f t="shared" si="6"/>
        <v>100</v>
      </c>
    </row>
    <row r="105" spans="1:8" ht="50.25" customHeight="1">
      <c r="A105" s="46" t="s">
        <v>406</v>
      </c>
      <c r="B105" s="32" t="s">
        <v>407</v>
      </c>
      <c r="C105" s="32"/>
      <c r="D105" s="82">
        <f>SUM(D106:D107)</f>
        <v>4755654</v>
      </c>
      <c r="E105" s="82">
        <f>SUM(E106:E107)</f>
        <v>0</v>
      </c>
      <c r="F105" s="94">
        <f>SUM(F106:F107)</f>
        <v>4755654</v>
      </c>
      <c r="G105" s="94">
        <f>SUM(G106:G107)</f>
        <v>4755654</v>
      </c>
      <c r="H105" s="107">
        <f t="shared" si="6"/>
        <v>100</v>
      </c>
    </row>
    <row r="106" spans="1:8" ht="61.5" customHeight="1">
      <c r="A106" s="50" t="s">
        <v>112</v>
      </c>
      <c r="B106" s="5" t="s">
        <v>113</v>
      </c>
      <c r="C106" s="4">
        <v>200</v>
      </c>
      <c r="D106" s="13">
        <v>89654</v>
      </c>
      <c r="E106" s="13"/>
      <c r="F106" s="84">
        <f>D106+E106</f>
        <v>89654</v>
      </c>
      <c r="G106" s="13">
        <v>89654</v>
      </c>
      <c r="H106" s="105">
        <f t="shared" si="6"/>
        <v>100</v>
      </c>
    </row>
    <row r="107" spans="1:8" s="21" customFormat="1" ht="48.75" customHeight="1">
      <c r="A107" s="53" t="s">
        <v>401</v>
      </c>
      <c r="B107" s="5" t="s">
        <v>402</v>
      </c>
      <c r="C107" s="5">
        <v>200</v>
      </c>
      <c r="D107" s="14">
        <v>4666000</v>
      </c>
      <c r="E107" s="14"/>
      <c r="F107" s="84">
        <f>D107+E107</f>
        <v>4666000</v>
      </c>
      <c r="G107" s="14">
        <v>4666000</v>
      </c>
      <c r="H107" s="105">
        <f t="shared" si="6"/>
        <v>100</v>
      </c>
    </row>
    <row r="108" spans="1:8" ht="22.5" customHeight="1">
      <c r="A108" s="46" t="s">
        <v>239</v>
      </c>
      <c r="B108" s="32" t="s">
        <v>207</v>
      </c>
      <c r="C108" s="32"/>
      <c r="D108" s="82">
        <f>SUM(D109:D111)</f>
        <v>506200</v>
      </c>
      <c r="E108" s="82">
        <f>SUM(E109:E111)</f>
        <v>20564.37</v>
      </c>
      <c r="F108" s="94">
        <f>SUM(F109:F111)</f>
        <v>526764.37</v>
      </c>
      <c r="G108" s="94">
        <f>SUM(G109:G111)</f>
        <v>515898.13</v>
      </c>
      <c r="H108" s="107">
        <f t="shared" si="6"/>
        <v>97.93717255402069</v>
      </c>
    </row>
    <row r="109" spans="1:8" s="21" customFormat="1" ht="66.75" customHeight="1">
      <c r="A109" s="50" t="s">
        <v>241</v>
      </c>
      <c r="B109" s="4" t="s">
        <v>209</v>
      </c>
      <c r="C109" s="4">
        <v>200</v>
      </c>
      <c r="D109" s="14">
        <v>406200</v>
      </c>
      <c r="E109" s="14">
        <v>20631.45</v>
      </c>
      <c r="F109" s="84">
        <f>D109+E109</f>
        <v>426831.45</v>
      </c>
      <c r="G109" s="14">
        <v>415965.21</v>
      </c>
      <c r="H109" s="105">
        <f t="shared" si="6"/>
        <v>97.45420821263288</v>
      </c>
    </row>
    <row r="110" spans="1:8" s="21" customFormat="1" ht="82.5" customHeight="1">
      <c r="A110" s="50" t="s">
        <v>243</v>
      </c>
      <c r="B110" s="5" t="s">
        <v>242</v>
      </c>
      <c r="C110" s="5">
        <v>200</v>
      </c>
      <c r="D110" s="14">
        <v>50000</v>
      </c>
      <c r="E110" s="14">
        <v>-67.08</v>
      </c>
      <c r="F110" s="84">
        <f>D110+E110</f>
        <v>49932.92</v>
      </c>
      <c r="G110" s="14">
        <v>49932.92</v>
      </c>
      <c r="H110" s="105">
        <f t="shared" si="6"/>
        <v>100</v>
      </c>
    </row>
    <row r="111" spans="1:8" s="21" customFormat="1" ht="33.75" customHeight="1">
      <c r="A111" s="50" t="s">
        <v>190</v>
      </c>
      <c r="B111" s="4" t="s">
        <v>208</v>
      </c>
      <c r="C111" s="4">
        <v>200</v>
      </c>
      <c r="D111" s="14">
        <v>50000</v>
      </c>
      <c r="E111" s="14"/>
      <c r="F111" s="84">
        <f>D111+E111</f>
        <v>50000</v>
      </c>
      <c r="G111" s="14">
        <v>50000</v>
      </c>
      <c r="H111" s="105">
        <f t="shared" si="6"/>
        <v>100</v>
      </c>
    </row>
    <row r="112" spans="1:8" ht="22.5" customHeight="1">
      <c r="A112" s="46" t="s">
        <v>182</v>
      </c>
      <c r="B112" s="32" t="s">
        <v>181</v>
      </c>
      <c r="C112" s="32"/>
      <c r="D112" s="82">
        <f>D113</f>
        <v>4421957</v>
      </c>
      <c r="E112" s="82">
        <f>E113</f>
        <v>0</v>
      </c>
      <c r="F112" s="94">
        <f>F113</f>
        <v>4421957</v>
      </c>
      <c r="G112" s="94">
        <f>G113</f>
        <v>4421196.47</v>
      </c>
      <c r="H112" s="107">
        <f t="shared" si="6"/>
        <v>99.9828010539225</v>
      </c>
    </row>
    <row r="113" spans="1:8" s="21" customFormat="1" ht="48.75" customHeight="1">
      <c r="A113" s="53" t="s">
        <v>202</v>
      </c>
      <c r="B113" s="5" t="s">
        <v>203</v>
      </c>
      <c r="C113" s="5">
        <v>600</v>
      </c>
      <c r="D113" s="14">
        <v>4421957</v>
      </c>
      <c r="E113" s="14"/>
      <c r="F113" s="84">
        <f>D113+E113</f>
        <v>4421957</v>
      </c>
      <c r="G113" s="14">
        <v>4421196.47</v>
      </c>
      <c r="H113" s="105">
        <f t="shared" si="6"/>
        <v>99.9828010539225</v>
      </c>
    </row>
    <row r="114" spans="1:8" s="19" customFormat="1" ht="55.5" customHeight="1">
      <c r="A114" s="17" t="s">
        <v>189</v>
      </c>
      <c r="B114" s="18" t="s">
        <v>393</v>
      </c>
      <c r="C114" s="18"/>
      <c r="D114" s="20">
        <f>D115+D124+D135+D139+D142+D163</f>
        <v>39827154.59</v>
      </c>
      <c r="E114" s="20">
        <f>E115+E124+E135+E139+E142+E163</f>
        <v>-965512.75</v>
      </c>
      <c r="F114" s="93">
        <f>F115+F124+F135+F139+F142+F163</f>
        <v>38861641.84</v>
      </c>
      <c r="G114" s="93">
        <f>G115+G124+G135+G139+G142+G163</f>
        <v>37887082.04</v>
      </c>
      <c r="H114" s="109">
        <f t="shared" si="6"/>
        <v>97.49223204718824</v>
      </c>
    </row>
    <row r="115" spans="1:8" s="19" customFormat="1" ht="32.25" customHeight="1">
      <c r="A115" s="49" t="s">
        <v>427</v>
      </c>
      <c r="B115" s="36" t="s">
        <v>428</v>
      </c>
      <c r="C115" s="36"/>
      <c r="D115" s="37">
        <f>SUM(D116:D123)</f>
        <v>4423952.26</v>
      </c>
      <c r="E115" s="37">
        <f>SUM(E116:E123)</f>
        <v>59287.63999999999</v>
      </c>
      <c r="F115" s="95">
        <f>SUM(F116:F123)</f>
        <v>4483239.899999999</v>
      </c>
      <c r="G115" s="95">
        <f>SUM(G116:G123)</f>
        <v>4462731.899999999</v>
      </c>
      <c r="H115" s="111">
        <f t="shared" si="6"/>
        <v>99.54256295765033</v>
      </c>
    </row>
    <row r="116" spans="1:8" ht="62.25" customHeight="1">
      <c r="A116" s="47" t="s">
        <v>363</v>
      </c>
      <c r="B116" s="4" t="s">
        <v>339</v>
      </c>
      <c r="C116" s="4">
        <v>100</v>
      </c>
      <c r="D116" s="13">
        <v>3875396.11</v>
      </c>
      <c r="E116" s="13">
        <v>82140.76</v>
      </c>
      <c r="F116" s="83">
        <f aca="true" t="shared" si="10" ref="F116:F123">D116+E116</f>
        <v>3957536.8699999996</v>
      </c>
      <c r="G116" s="13">
        <v>3957536.87</v>
      </c>
      <c r="H116" s="105">
        <f t="shared" si="6"/>
        <v>100.00000000000003</v>
      </c>
    </row>
    <row r="117" spans="1:8" ht="47.25" customHeight="1">
      <c r="A117" s="47" t="s">
        <v>338</v>
      </c>
      <c r="B117" s="4" t="s">
        <v>339</v>
      </c>
      <c r="C117" s="4">
        <v>200</v>
      </c>
      <c r="D117" s="13">
        <v>137608.12</v>
      </c>
      <c r="E117" s="13">
        <f>-6131.47</f>
        <v>-6131.47</v>
      </c>
      <c r="F117" s="83">
        <f t="shared" si="10"/>
        <v>131476.65</v>
      </c>
      <c r="G117" s="13">
        <v>121390.65</v>
      </c>
      <c r="H117" s="105">
        <f t="shared" si="6"/>
        <v>92.32867585232815</v>
      </c>
    </row>
    <row r="118" spans="1:8" ht="61.5" customHeight="1">
      <c r="A118" s="47" t="s">
        <v>433</v>
      </c>
      <c r="B118" s="4" t="s">
        <v>434</v>
      </c>
      <c r="C118" s="4">
        <v>200</v>
      </c>
      <c r="D118" s="13">
        <v>321593.65</v>
      </c>
      <c r="E118" s="13">
        <v>-16721.65</v>
      </c>
      <c r="F118" s="83">
        <f t="shared" si="10"/>
        <v>304872</v>
      </c>
      <c r="G118" s="13">
        <v>294450</v>
      </c>
      <c r="H118" s="105">
        <f t="shared" si="6"/>
        <v>96.58151617728096</v>
      </c>
    </row>
    <row r="119" spans="1:8" ht="81" customHeight="1">
      <c r="A119" s="52" t="s">
        <v>484</v>
      </c>
      <c r="B119" s="4" t="s">
        <v>436</v>
      </c>
      <c r="C119" s="4">
        <v>100</v>
      </c>
      <c r="D119" s="13">
        <v>13900</v>
      </c>
      <c r="E119" s="13"/>
      <c r="F119" s="83">
        <f t="shared" si="10"/>
        <v>13900</v>
      </c>
      <c r="G119" s="13">
        <v>13900</v>
      </c>
      <c r="H119" s="105">
        <f t="shared" si="6"/>
        <v>100</v>
      </c>
    </row>
    <row r="120" spans="1:8" ht="81" customHeight="1">
      <c r="A120" s="52" t="s">
        <v>27</v>
      </c>
      <c r="B120" s="4" t="s">
        <v>437</v>
      </c>
      <c r="C120" s="4">
        <v>100</v>
      </c>
      <c r="D120" s="13">
        <v>34000</v>
      </c>
      <c r="E120" s="13"/>
      <c r="F120" s="83">
        <f t="shared" si="10"/>
        <v>34000</v>
      </c>
      <c r="G120" s="13">
        <v>34000</v>
      </c>
      <c r="H120" s="105">
        <f t="shared" si="6"/>
        <v>100</v>
      </c>
    </row>
    <row r="121" spans="1:8" ht="78.75" customHeight="1">
      <c r="A121" s="52" t="s">
        <v>44</v>
      </c>
      <c r="B121" s="4" t="s">
        <v>438</v>
      </c>
      <c r="C121" s="4">
        <v>100</v>
      </c>
      <c r="D121" s="13">
        <v>12320</v>
      </c>
      <c r="E121" s="13"/>
      <c r="F121" s="83">
        <f t="shared" si="10"/>
        <v>12320</v>
      </c>
      <c r="G121" s="13">
        <v>12320</v>
      </c>
      <c r="H121" s="105">
        <f t="shared" si="6"/>
        <v>100</v>
      </c>
    </row>
    <row r="122" spans="1:8" ht="78.75" customHeight="1">
      <c r="A122" s="52" t="s">
        <v>45</v>
      </c>
      <c r="B122" s="4" t="s">
        <v>435</v>
      </c>
      <c r="C122" s="4">
        <v>100</v>
      </c>
      <c r="D122" s="13">
        <v>23908</v>
      </c>
      <c r="E122" s="13"/>
      <c r="F122" s="83">
        <f t="shared" si="10"/>
        <v>23908</v>
      </c>
      <c r="G122" s="13">
        <v>23908</v>
      </c>
      <c r="H122" s="105">
        <f t="shared" si="6"/>
        <v>100</v>
      </c>
    </row>
    <row r="123" spans="1:8" ht="32.25" customHeight="1">
      <c r="A123" s="52" t="s">
        <v>73</v>
      </c>
      <c r="B123" s="4" t="s">
        <v>421</v>
      </c>
      <c r="C123" s="4">
        <v>700</v>
      </c>
      <c r="D123" s="13">
        <v>5226.38</v>
      </c>
      <c r="E123" s="13"/>
      <c r="F123" s="83">
        <f t="shared" si="10"/>
        <v>5226.38</v>
      </c>
      <c r="G123" s="13">
        <v>5226.38</v>
      </c>
      <c r="H123" s="105">
        <f t="shared" si="6"/>
        <v>100</v>
      </c>
    </row>
    <row r="124" spans="1:8" ht="48.75" customHeight="1">
      <c r="A124" s="46" t="s">
        <v>49</v>
      </c>
      <c r="B124" s="32" t="s">
        <v>50</v>
      </c>
      <c r="C124" s="32"/>
      <c r="D124" s="35">
        <f>SUM(D125:D134)</f>
        <v>3810019.81</v>
      </c>
      <c r="E124" s="35">
        <f>SUM(E125:E134)</f>
        <v>-380853.82</v>
      </c>
      <c r="F124" s="92">
        <f>SUM(F125:F134)</f>
        <v>3429165.9899999998</v>
      </c>
      <c r="G124" s="92">
        <f>SUM(G125:G134)</f>
        <v>3295094.26</v>
      </c>
      <c r="H124" s="107">
        <f t="shared" si="6"/>
        <v>96.09025254563429</v>
      </c>
    </row>
    <row r="125" spans="1:8" ht="62.25" customHeight="1">
      <c r="A125" s="47" t="s">
        <v>363</v>
      </c>
      <c r="B125" s="4" t="s">
        <v>416</v>
      </c>
      <c r="C125" s="4">
        <v>100</v>
      </c>
      <c r="D125" s="13">
        <v>2669577</v>
      </c>
      <c r="E125" s="13">
        <f>-19230.73</f>
        <v>-19230.73</v>
      </c>
      <c r="F125" s="83">
        <f aca="true" t="shared" si="11" ref="F125:F134">D125+E125</f>
        <v>2650346.27</v>
      </c>
      <c r="G125" s="13">
        <v>2649525.46</v>
      </c>
      <c r="H125" s="105">
        <f t="shared" si="6"/>
        <v>99.96903008451042</v>
      </c>
    </row>
    <row r="126" spans="1:8" ht="47.25" customHeight="1">
      <c r="A126" s="47" t="s">
        <v>338</v>
      </c>
      <c r="B126" s="4" t="s">
        <v>416</v>
      </c>
      <c r="C126" s="4">
        <v>200</v>
      </c>
      <c r="D126" s="13">
        <v>103929.61</v>
      </c>
      <c r="E126" s="13">
        <f>-2414</f>
        <v>-2414</v>
      </c>
      <c r="F126" s="83">
        <f t="shared" si="11"/>
        <v>101515.61</v>
      </c>
      <c r="G126" s="13">
        <v>92986.69</v>
      </c>
      <c r="H126" s="105">
        <f t="shared" si="6"/>
        <v>91.59841525850064</v>
      </c>
    </row>
    <row r="127" spans="1:8" ht="33" customHeight="1">
      <c r="A127" s="47" t="s">
        <v>432</v>
      </c>
      <c r="B127" s="4" t="s">
        <v>416</v>
      </c>
      <c r="C127" s="4">
        <v>800</v>
      </c>
      <c r="D127" s="13">
        <v>50000</v>
      </c>
      <c r="E127" s="13"/>
      <c r="F127" s="83">
        <f t="shared" si="11"/>
        <v>50000</v>
      </c>
      <c r="G127" s="13">
        <v>50000</v>
      </c>
      <c r="H127" s="105">
        <f t="shared" si="6"/>
        <v>100</v>
      </c>
    </row>
    <row r="128" spans="1:8" ht="64.5" customHeight="1">
      <c r="A128" s="47" t="s">
        <v>297</v>
      </c>
      <c r="B128" s="4" t="s">
        <v>410</v>
      </c>
      <c r="C128" s="4">
        <v>200</v>
      </c>
      <c r="D128" s="13">
        <v>366500</v>
      </c>
      <c r="E128" s="13">
        <f>-69500</f>
        <v>-69500</v>
      </c>
      <c r="F128" s="83">
        <f t="shared" si="11"/>
        <v>297000</v>
      </c>
      <c r="G128" s="13">
        <v>297000</v>
      </c>
      <c r="H128" s="105">
        <f t="shared" si="6"/>
        <v>100</v>
      </c>
    </row>
    <row r="129" spans="1:8" ht="32.25" customHeight="1">
      <c r="A129" s="55" t="s">
        <v>330</v>
      </c>
      <c r="B129" s="5" t="s">
        <v>264</v>
      </c>
      <c r="C129" s="4">
        <v>200</v>
      </c>
      <c r="D129" s="13">
        <v>547287.08</v>
      </c>
      <c r="E129" s="13">
        <f>-289709.09+3350</f>
        <v>-286359.09</v>
      </c>
      <c r="F129" s="83">
        <f t="shared" si="11"/>
        <v>260927.98999999993</v>
      </c>
      <c r="G129" s="13">
        <v>136727.99</v>
      </c>
      <c r="H129" s="105">
        <f t="shared" si="6"/>
        <v>52.40066042742292</v>
      </c>
    </row>
    <row r="130" spans="1:8" ht="32.25" customHeight="1">
      <c r="A130" s="55" t="s">
        <v>152</v>
      </c>
      <c r="B130" s="5" t="s">
        <v>264</v>
      </c>
      <c r="C130" s="4">
        <v>800</v>
      </c>
      <c r="D130" s="13">
        <v>19607.12</v>
      </c>
      <c r="E130" s="30">
        <v>-3350</v>
      </c>
      <c r="F130" s="83">
        <f t="shared" si="11"/>
        <v>16257.119999999999</v>
      </c>
      <c r="G130" s="13">
        <v>15735.12</v>
      </c>
      <c r="H130" s="105">
        <f t="shared" si="6"/>
        <v>96.78909917623787</v>
      </c>
    </row>
    <row r="131" spans="1:8" ht="96" customHeight="1">
      <c r="A131" s="52" t="s">
        <v>357</v>
      </c>
      <c r="B131" s="4" t="s">
        <v>385</v>
      </c>
      <c r="C131" s="4">
        <v>100</v>
      </c>
      <c r="D131" s="13">
        <v>13300</v>
      </c>
      <c r="E131" s="13"/>
      <c r="F131" s="83">
        <f t="shared" si="11"/>
        <v>13300</v>
      </c>
      <c r="G131" s="13">
        <v>13300</v>
      </c>
      <c r="H131" s="105">
        <f t="shared" si="6"/>
        <v>100</v>
      </c>
    </row>
    <row r="132" spans="1:8" ht="96" customHeight="1">
      <c r="A132" s="52" t="s">
        <v>130</v>
      </c>
      <c r="B132" s="4" t="s">
        <v>386</v>
      </c>
      <c r="C132" s="4">
        <v>100</v>
      </c>
      <c r="D132" s="13">
        <v>13300</v>
      </c>
      <c r="E132" s="13"/>
      <c r="F132" s="83">
        <f t="shared" si="11"/>
        <v>13300</v>
      </c>
      <c r="G132" s="13">
        <v>13300</v>
      </c>
      <c r="H132" s="105">
        <f t="shared" si="6"/>
        <v>100</v>
      </c>
    </row>
    <row r="133" spans="1:8" ht="97.5" customHeight="1">
      <c r="A133" s="52" t="s">
        <v>284</v>
      </c>
      <c r="B133" s="4" t="s">
        <v>387</v>
      </c>
      <c r="C133" s="4">
        <v>100</v>
      </c>
      <c r="D133" s="13">
        <v>13260</v>
      </c>
      <c r="E133" s="13"/>
      <c r="F133" s="83">
        <f t="shared" si="11"/>
        <v>13260</v>
      </c>
      <c r="G133" s="13">
        <v>13260</v>
      </c>
      <c r="H133" s="105">
        <f aca="true" t="shared" si="12" ref="H133:H196">G133/F133*100</f>
        <v>100</v>
      </c>
    </row>
    <row r="134" spans="1:8" ht="96" customHeight="1">
      <c r="A134" s="52" t="s">
        <v>384</v>
      </c>
      <c r="B134" s="4" t="s">
        <v>388</v>
      </c>
      <c r="C134" s="4">
        <v>100</v>
      </c>
      <c r="D134" s="13">
        <v>13259</v>
      </c>
      <c r="E134" s="13"/>
      <c r="F134" s="83">
        <f t="shared" si="11"/>
        <v>13259</v>
      </c>
      <c r="G134" s="13">
        <v>13259</v>
      </c>
      <c r="H134" s="105">
        <f t="shared" si="12"/>
        <v>100</v>
      </c>
    </row>
    <row r="135" spans="1:8" ht="31.5" customHeight="1">
      <c r="A135" s="51" t="s">
        <v>51</v>
      </c>
      <c r="B135" s="32" t="s">
        <v>52</v>
      </c>
      <c r="C135" s="32"/>
      <c r="D135" s="35">
        <f>SUM(D136:D138)</f>
        <v>2115197.49</v>
      </c>
      <c r="E135" s="35">
        <f>SUM(E136:E138)</f>
        <v>4228.389999999999</v>
      </c>
      <c r="F135" s="92">
        <f>SUM(F136:F138)</f>
        <v>2119425.88</v>
      </c>
      <c r="G135" s="92">
        <f>SUM(G136:G138)</f>
        <v>2086709.42</v>
      </c>
      <c r="H135" s="107">
        <f t="shared" si="12"/>
        <v>98.45635271755765</v>
      </c>
    </row>
    <row r="136" spans="1:8" ht="62.25" customHeight="1">
      <c r="A136" s="47" t="s">
        <v>363</v>
      </c>
      <c r="B136" s="4" t="s">
        <v>389</v>
      </c>
      <c r="C136" s="4">
        <v>100</v>
      </c>
      <c r="D136" s="13">
        <v>1961900</v>
      </c>
      <c r="E136" s="13">
        <f>21328.66-1000</f>
        <v>20328.66</v>
      </c>
      <c r="F136" s="83">
        <f>D136+E136</f>
        <v>1982228.66</v>
      </c>
      <c r="G136" s="13">
        <v>1951658.94</v>
      </c>
      <c r="H136" s="105">
        <f t="shared" si="12"/>
        <v>98.45781061403885</v>
      </c>
    </row>
    <row r="137" spans="1:8" ht="47.25" customHeight="1">
      <c r="A137" s="47" t="s">
        <v>338</v>
      </c>
      <c r="B137" s="4" t="s">
        <v>389</v>
      </c>
      <c r="C137" s="4">
        <v>200</v>
      </c>
      <c r="D137" s="13">
        <v>136424.49</v>
      </c>
      <c r="E137" s="13">
        <f>-16100.27</f>
        <v>-16100.27</v>
      </c>
      <c r="F137" s="83">
        <f>D137+E137</f>
        <v>120324.21999999999</v>
      </c>
      <c r="G137" s="13">
        <v>118177.48</v>
      </c>
      <c r="H137" s="105">
        <f t="shared" si="12"/>
        <v>98.21587042076816</v>
      </c>
    </row>
    <row r="138" spans="1:8" ht="31.5" customHeight="1">
      <c r="A138" s="47" t="s">
        <v>432</v>
      </c>
      <c r="B138" s="4" t="s">
        <v>389</v>
      </c>
      <c r="C138" s="4">
        <v>800</v>
      </c>
      <c r="D138" s="13">
        <v>16873</v>
      </c>
      <c r="E138" s="13"/>
      <c r="F138" s="83">
        <f>D138+E138</f>
        <v>16873</v>
      </c>
      <c r="G138" s="13">
        <v>16873</v>
      </c>
      <c r="H138" s="105">
        <f t="shared" si="12"/>
        <v>100</v>
      </c>
    </row>
    <row r="139" spans="1:8" ht="78.75" customHeight="1">
      <c r="A139" s="51" t="s">
        <v>59</v>
      </c>
      <c r="B139" s="32" t="s">
        <v>60</v>
      </c>
      <c r="C139" s="32"/>
      <c r="D139" s="35">
        <f>SUM(D140:D141)</f>
        <v>4591328.28</v>
      </c>
      <c r="E139" s="35">
        <f>SUM(E140:E141)</f>
        <v>-103400.97</v>
      </c>
      <c r="F139" s="92">
        <f>SUM(F140:F141)</f>
        <v>4487927.31</v>
      </c>
      <c r="G139" s="92">
        <f>SUM(G140:G141)</f>
        <v>4472957.99</v>
      </c>
      <c r="H139" s="107">
        <f t="shared" si="12"/>
        <v>99.66645359949024</v>
      </c>
    </row>
    <row r="140" spans="1:8" ht="66.75" customHeight="1">
      <c r="A140" s="47" t="s">
        <v>363</v>
      </c>
      <c r="B140" s="4" t="s">
        <v>390</v>
      </c>
      <c r="C140" s="4">
        <v>100</v>
      </c>
      <c r="D140" s="13">
        <v>4412630</v>
      </c>
      <c r="E140" s="13">
        <f>-6830.34-94065+0.01</f>
        <v>-100895.33</v>
      </c>
      <c r="F140" s="83">
        <f>D140+E140</f>
        <v>4311734.67</v>
      </c>
      <c r="G140" s="13">
        <v>4311734.67</v>
      </c>
      <c r="H140" s="105">
        <f t="shared" si="12"/>
        <v>100</v>
      </c>
    </row>
    <row r="141" spans="1:8" ht="50.25" customHeight="1">
      <c r="A141" s="47" t="s">
        <v>338</v>
      </c>
      <c r="B141" s="4" t="s">
        <v>390</v>
      </c>
      <c r="C141" s="4">
        <v>200</v>
      </c>
      <c r="D141" s="13">
        <v>178698.28</v>
      </c>
      <c r="E141" s="13">
        <f>-908-1597.64</f>
        <v>-2505.6400000000003</v>
      </c>
      <c r="F141" s="83">
        <f>D141+E141</f>
        <v>176192.63999999998</v>
      </c>
      <c r="G141" s="13">
        <v>161223.32</v>
      </c>
      <c r="H141" s="105">
        <f t="shared" si="12"/>
        <v>91.50400379947767</v>
      </c>
    </row>
    <row r="142" spans="1:8" ht="48.75" customHeight="1">
      <c r="A142" s="51" t="s">
        <v>61</v>
      </c>
      <c r="B142" s="32" t="s">
        <v>62</v>
      </c>
      <c r="C142" s="32"/>
      <c r="D142" s="35">
        <f>SUM(D143:D162)</f>
        <v>15315333.149999999</v>
      </c>
      <c r="E142" s="35">
        <f>SUM(E143:E162)</f>
        <v>-262876.73</v>
      </c>
      <c r="F142" s="92">
        <f>SUM(F143:F162)</f>
        <v>15052456.42</v>
      </c>
      <c r="G142" s="92">
        <f>SUM(G143:G162)</f>
        <v>14859232.299999999</v>
      </c>
      <c r="H142" s="107">
        <f t="shared" si="12"/>
        <v>98.71632832138104</v>
      </c>
    </row>
    <row r="143" spans="1:8" s="21" customFormat="1" ht="64.5" customHeight="1">
      <c r="A143" s="53" t="s">
        <v>321</v>
      </c>
      <c r="B143" s="4" t="s">
        <v>320</v>
      </c>
      <c r="C143" s="4">
        <v>100</v>
      </c>
      <c r="D143" s="14">
        <v>1318890</v>
      </c>
      <c r="E143" s="14"/>
      <c r="F143" s="83">
        <f aca="true" t="shared" si="13" ref="F143:F162">D143+E143</f>
        <v>1318890</v>
      </c>
      <c r="G143" s="14">
        <v>1279649.15</v>
      </c>
      <c r="H143" s="105">
        <f t="shared" si="12"/>
        <v>97.02470638188173</v>
      </c>
    </row>
    <row r="144" spans="1:8" ht="62.25" customHeight="1">
      <c r="A144" s="47" t="s">
        <v>363</v>
      </c>
      <c r="B144" s="4" t="s">
        <v>391</v>
      </c>
      <c r="C144" s="4">
        <v>100</v>
      </c>
      <c r="D144" s="13">
        <v>10577304</v>
      </c>
      <c r="E144" s="13">
        <v>-15000</v>
      </c>
      <c r="F144" s="83">
        <f t="shared" si="13"/>
        <v>10562304</v>
      </c>
      <c r="G144" s="13">
        <v>10520952.53</v>
      </c>
      <c r="H144" s="105">
        <f t="shared" si="12"/>
        <v>99.60849952813325</v>
      </c>
    </row>
    <row r="145" spans="1:8" ht="47.25" customHeight="1">
      <c r="A145" s="47" t="s">
        <v>338</v>
      </c>
      <c r="B145" s="4" t="s">
        <v>391</v>
      </c>
      <c r="C145" s="4">
        <v>200</v>
      </c>
      <c r="D145" s="13">
        <v>917453.25</v>
      </c>
      <c r="E145" s="13">
        <f>-69835.18-9750+1100+16721.65</f>
        <v>-61763.52999999999</v>
      </c>
      <c r="F145" s="83">
        <f t="shared" si="13"/>
        <v>855689.72</v>
      </c>
      <c r="G145" s="13">
        <v>814451.72</v>
      </c>
      <c r="H145" s="105">
        <f t="shared" si="12"/>
        <v>95.18072976265275</v>
      </c>
    </row>
    <row r="146" spans="1:8" ht="30.75" customHeight="1">
      <c r="A146" s="47" t="s">
        <v>432</v>
      </c>
      <c r="B146" s="4" t="s">
        <v>391</v>
      </c>
      <c r="C146" s="4">
        <v>800</v>
      </c>
      <c r="D146" s="13">
        <v>26429.87</v>
      </c>
      <c r="E146" s="13">
        <v>15000</v>
      </c>
      <c r="F146" s="83">
        <f t="shared" si="13"/>
        <v>41429.869999999995</v>
      </c>
      <c r="G146" s="13">
        <v>41429.87</v>
      </c>
      <c r="H146" s="105">
        <f t="shared" si="12"/>
        <v>100.00000000000003</v>
      </c>
    </row>
    <row r="147" spans="1:8" ht="78.75" customHeight="1">
      <c r="A147" s="52" t="s">
        <v>149</v>
      </c>
      <c r="B147" s="4" t="s">
        <v>150</v>
      </c>
      <c r="C147" s="4">
        <v>200</v>
      </c>
      <c r="D147" s="13">
        <v>35000</v>
      </c>
      <c r="E147" s="13">
        <f>-5000-3000</f>
        <v>-8000</v>
      </c>
      <c r="F147" s="83">
        <f t="shared" si="13"/>
        <v>27000</v>
      </c>
      <c r="G147" s="13">
        <v>27000</v>
      </c>
      <c r="H147" s="105">
        <f t="shared" si="12"/>
        <v>100</v>
      </c>
    </row>
    <row r="148" spans="1:8" ht="47.25" customHeight="1">
      <c r="A148" s="52" t="s">
        <v>33</v>
      </c>
      <c r="B148" s="4" t="s">
        <v>34</v>
      </c>
      <c r="C148" s="4">
        <v>200</v>
      </c>
      <c r="D148" s="13">
        <v>280168</v>
      </c>
      <c r="E148" s="13">
        <f>-27832-42880+19400</f>
        <v>-51312</v>
      </c>
      <c r="F148" s="83">
        <f t="shared" si="13"/>
        <v>228856</v>
      </c>
      <c r="G148" s="13">
        <v>211236</v>
      </c>
      <c r="H148" s="105">
        <f t="shared" si="12"/>
        <v>92.30083545985248</v>
      </c>
    </row>
    <row r="149" spans="1:8" ht="32.25" customHeight="1">
      <c r="A149" s="47" t="s">
        <v>6</v>
      </c>
      <c r="B149" s="4" t="s">
        <v>7</v>
      </c>
      <c r="C149" s="4">
        <v>200</v>
      </c>
      <c r="D149" s="13">
        <v>365521.03</v>
      </c>
      <c r="E149" s="13">
        <f>-17678.95-21677</f>
        <v>-39355.95</v>
      </c>
      <c r="F149" s="83">
        <f t="shared" si="13"/>
        <v>326165.08</v>
      </c>
      <c r="G149" s="13">
        <v>278391.28</v>
      </c>
      <c r="H149" s="105">
        <f t="shared" si="12"/>
        <v>85.35287713816575</v>
      </c>
    </row>
    <row r="150" spans="1:8" ht="32.25" customHeight="1">
      <c r="A150" s="47" t="s">
        <v>403</v>
      </c>
      <c r="B150" s="4" t="s">
        <v>7</v>
      </c>
      <c r="C150" s="4">
        <v>300</v>
      </c>
      <c r="D150" s="13">
        <v>10000</v>
      </c>
      <c r="E150" s="13"/>
      <c r="F150" s="83">
        <f t="shared" si="13"/>
        <v>10000</v>
      </c>
      <c r="G150" s="13">
        <v>10000</v>
      </c>
      <c r="H150" s="105">
        <f t="shared" si="12"/>
        <v>100</v>
      </c>
    </row>
    <row r="151" spans="1:8" s="21" customFormat="1" ht="45.75" customHeight="1">
      <c r="A151" s="55" t="s">
        <v>449</v>
      </c>
      <c r="B151" s="5" t="s">
        <v>7</v>
      </c>
      <c r="C151" s="5">
        <v>600</v>
      </c>
      <c r="D151" s="14">
        <v>6000</v>
      </c>
      <c r="E151" s="14"/>
      <c r="F151" s="83">
        <f t="shared" si="13"/>
        <v>6000</v>
      </c>
      <c r="G151" s="14">
        <v>0</v>
      </c>
      <c r="H151" s="105">
        <f t="shared" si="12"/>
        <v>0</v>
      </c>
    </row>
    <row r="152" spans="1:8" s="21" customFormat="1" ht="30" customHeight="1">
      <c r="A152" s="47" t="s">
        <v>404</v>
      </c>
      <c r="B152" s="5" t="s">
        <v>7</v>
      </c>
      <c r="C152" s="5">
        <v>800</v>
      </c>
      <c r="D152" s="14">
        <v>23388</v>
      </c>
      <c r="E152" s="14"/>
      <c r="F152" s="83">
        <f t="shared" si="13"/>
        <v>23388</v>
      </c>
      <c r="G152" s="14">
        <v>23388</v>
      </c>
      <c r="H152" s="105">
        <f t="shared" si="12"/>
        <v>100</v>
      </c>
    </row>
    <row r="153" spans="1:8" ht="47.25" customHeight="1">
      <c r="A153" s="47" t="s">
        <v>233</v>
      </c>
      <c r="B153" s="4" t="s">
        <v>307</v>
      </c>
      <c r="C153" s="4">
        <v>300</v>
      </c>
      <c r="D153" s="13">
        <v>5000</v>
      </c>
      <c r="E153" s="13"/>
      <c r="F153" s="83">
        <f t="shared" si="13"/>
        <v>5000</v>
      </c>
      <c r="G153" s="13">
        <v>5000</v>
      </c>
      <c r="H153" s="105">
        <f t="shared" si="12"/>
        <v>100</v>
      </c>
    </row>
    <row r="154" spans="1:8" ht="31.5" customHeight="1">
      <c r="A154" s="47" t="s">
        <v>230</v>
      </c>
      <c r="B154" s="4" t="s">
        <v>308</v>
      </c>
      <c r="C154" s="4">
        <v>300</v>
      </c>
      <c r="D154" s="13">
        <v>1596195</v>
      </c>
      <c r="E154" s="13">
        <v>-102445.25</v>
      </c>
      <c r="F154" s="83">
        <f t="shared" si="13"/>
        <v>1493749.75</v>
      </c>
      <c r="G154" s="13">
        <v>1493749.75</v>
      </c>
      <c r="H154" s="105">
        <f t="shared" si="12"/>
        <v>100</v>
      </c>
    </row>
    <row r="155" spans="1:8" ht="94.5" customHeight="1">
      <c r="A155" s="50" t="s">
        <v>455</v>
      </c>
      <c r="B155" s="4" t="s">
        <v>456</v>
      </c>
      <c r="C155" s="4">
        <v>100</v>
      </c>
      <c r="D155" s="13">
        <v>16900</v>
      </c>
      <c r="E155" s="13"/>
      <c r="F155" s="83">
        <f t="shared" si="13"/>
        <v>16900</v>
      </c>
      <c r="G155" s="13">
        <v>16900</v>
      </c>
      <c r="H155" s="105">
        <f t="shared" si="12"/>
        <v>100</v>
      </c>
    </row>
    <row r="156" spans="1:8" ht="93.75" customHeight="1">
      <c r="A156" s="50" t="s">
        <v>13</v>
      </c>
      <c r="B156" s="4" t="s">
        <v>14</v>
      </c>
      <c r="C156" s="4">
        <v>100</v>
      </c>
      <c r="D156" s="13">
        <v>41500</v>
      </c>
      <c r="E156" s="13"/>
      <c r="F156" s="83">
        <f t="shared" si="13"/>
        <v>41500</v>
      </c>
      <c r="G156" s="13">
        <v>41500</v>
      </c>
      <c r="H156" s="105">
        <f t="shared" si="12"/>
        <v>100</v>
      </c>
    </row>
    <row r="157" spans="1:8" ht="94.5" customHeight="1">
      <c r="A157" s="50" t="s">
        <v>466</v>
      </c>
      <c r="B157" s="4" t="s">
        <v>467</v>
      </c>
      <c r="C157" s="4">
        <v>100</v>
      </c>
      <c r="D157" s="13">
        <v>14930</v>
      </c>
      <c r="E157" s="13"/>
      <c r="F157" s="83">
        <f t="shared" si="13"/>
        <v>14930</v>
      </c>
      <c r="G157" s="13">
        <v>14930</v>
      </c>
      <c r="H157" s="105">
        <f t="shared" si="12"/>
        <v>100</v>
      </c>
    </row>
    <row r="158" spans="1:8" ht="95.25" customHeight="1">
      <c r="A158" s="50" t="s">
        <v>251</v>
      </c>
      <c r="B158" s="4" t="s">
        <v>252</v>
      </c>
      <c r="C158" s="4">
        <v>100</v>
      </c>
      <c r="D158" s="13">
        <v>29128</v>
      </c>
      <c r="E158" s="13"/>
      <c r="F158" s="83">
        <f t="shared" si="13"/>
        <v>29128</v>
      </c>
      <c r="G158" s="13">
        <v>29128</v>
      </c>
      <c r="H158" s="105">
        <f t="shared" si="12"/>
        <v>100</v>
      </c>
    </row>
    <row r="159" spans="1:8" ht="93" customHeight="1">
      <c r="A159" s="50" t="s">
        <v>354</v>
      </c>
      <c r="B159" s="4" t="s">
        <v>355</v>
      </c>
      <c r="C159" s="4">
        <v>100</v>
      </c>
      <c r="D159" s="13">
        <v>8400</v>
      </c>
      <c r="E159" s="13"/>
      <c r="F159" s="83">
        <f t="shared" si="13"/>
        <v>8400</v>
      </c>
      <c r="G159" s="13">
        <v>8400</v>
      </c>
      <c r="H159" s="105">
        <f t="shared" si="12"/>
        <v>100</v>
      </c>
    </row>
    <row r="160" spans="1:8" ht="94.5" customHeight="1">
      <c r="A160" s="50" t="s">
        <v>19</v>
      </c>
      <c r="B160" s="4" t="s">
        <v>20</v>
      </c>
      <c r="C160" s="4">
        <v>100</v>
      </c>
      <c r="D160" s="13">
        <v>21100</v>
      </c>
      <c r="E160" s="13"/>
      <c r="F160" s="83">
        <f t="shared" si="13"/>
        <v>21100</v>
      </c>
      <c r="G160" s="13">
        <v>21100</v>
      </c>
      <c r="H160" s="105">
        <f t="shared" si="12"/>
        <v>100</v>
      </c>
    </row>
    <row r="161" spans="1:8" ht="93" customHeight="1">
      <c r="A161" s="50" t="s">
        <v>262</v>
      </c>
      <c r="B161" s="4" t="s">
        <v>263</v>
      </c>
      <c r="C161" s="4">
        <v>100</v>
      </c>
      <c r="D161" s="13">
        <v>7410</v>
      </c>
      <c r="E161" s="13"/>
      <c r="F161" s="83">
        <f t="shared" si="13"/>
        <v>7410</v>
      </c>
      <c r="G161" s="13">
        <v>7410</v>
      </c>
      <c r="H161" s="105">
        <f t="shared" si="12"/>
        <v>100</v>
      </c>
    </row>
    <row r="162" spans="1:8" ht="93" customHeight="1">
      <c r="A162" s="50" t="s">
        <v>314</v>
      </c>
      <c r="B162" s="4" t="s">
        <v>315</v>
      </c>
      <c r="C162" s="4">
        <v>100</v>
      </c>
      <c r="D162" s="13">
        <v>14616</v>
      </c>
      <c r="E162" s="13"/>
      <c r="F162" s="83">
        <f t="shared" si="13"/>
        <v>14616</v>
      </c>
      <c r="G162" s="13">
        <v>14616</v>
      </c>
      <c r="H162" s="105">
        <f t="shared" si="12"/>
        <v>100</v>
      </c>
    </row>
    <row r="163" spans="1:8" ht="35.25" customHeight="1">
      <c r="A163" s="49" t="s">
        <v>210</v>
      </c>
      <c r="B163" s="32" t="s">
        <v>177</v>
      </c>
      <c r="C163" s="32"/>
      <c r="D163" s="35">
        <f>SUM(D164:D167)</f>
        <v>9571323.600000001</v>
      </c>
      <c r="E163" s="35">
        <f>SUM(E164:E167)</f>
        <v>-281897.26</v>
      </c>
      <c r="F163" s="92">
        <f>SUM(F164:F167)</f>
        <v>9289426.340000002</v>
      </c>
      <c r="G163" s="92">
        <f>SUM(G164:G167)</f>
        <v>8710356.17</v>
      </c>
      <c r="H163" s="107">
        <f t="shared" si="12"/>
        <v>93.76635166903104</v>
      </c>
    </row>
    <row r="164" spans="1:8" ht="78.75" customHeight="1">
      <c r="A164" s="50" t="s">
        <v>366</v>
      </c>
      <c r="B164" s="4" t="s">
        <v>178</v>
      </c>
      <c r="C164" s="4">
        <v>100</v>
      </c>
      <c r="D164" s="13">
        <v>4235439</v>
      </c>
      <c r="E164" s="13">
        <f>-45074.31+18235</f>
        <v>-26839.309999999998</v>
      </c>
      <c r="F164" s="83">
        <f>D164+E164</f>
        <v>4208599.69</v>
      </c>
      <c r="G164" s="13">
        <v>4204338.47</v>
      </c>
      <c r="H164" s="105">
        <f t="shared" si="12"/>
        <v>99.89874969553114</v>
      </c>
    </row>
    <row r="165" spans="1:8" ht="47.25" customHeight="1">
      <c r="A165" s="50" t="s">
        <v>351</v>
      </c>
      <c r="B165" s="4" t="s">
        <v>178</v>
      </c>
      <c r="C165" s="4">
        <v>200</v>
      </c>
      <c r="D165" s="13">
        <v>5208722.49</v>
      </c>
      <c r="E165" s="13">
        <f>-236822.95-24455</f>
        <v>-261277.95</v>
      </c>
      <c r="F165" s="83">
        <f>D165+E165</f>
        <v>4947444.54</v>
      </c>
      <c r="G165" s="13">
        <v>4372635.59</v>
      </c>
      <c r="H165" s="105">
        <f t="shared" si="12"/>
        <v>88.38169997960199</v>
      </c>
    </row>
    <row r="166" spans="1:8" ht="47.25" customHeight="1">
      <c r="A166" s="50" t="s">
        <v>405</v>
      </c>
      <c r="B166" s="4" t="s">
        <v>178</v>
      </c>
      <c r="C166" s="4">
        <v>300</v>
      </c>
      <c r="D166" s="13">
        <v>26481.31</v>
      </c>
      <c r="E166" s="13">
        <v>6220</v>
      </c>
      <c r="F166" s="83">
        <f>D166+E166</f>
        <v>32701.31</v>
      </c>
      <c r="G166" s="13">
        <v>32701.31</v>
      </c>
      <c r="H166" s="105">
        <f t="shared" si="12"/>
        <v>100</v>
      </c>
    </row>
    <row r="167" spans="1:8" ht="31.5">
      <c r="A167" s="50" t="s">
        <v>379</v>
      </c>
      <c r="B167" s="4" t="s">
        <v>178</v>
      </c>
      <c r="C167" s="4">
        <v>800</v>
      </c>
      <c r="D167" s="13">
        <v>100680.8</v>
      </c>
      <c r="E167" s="13"/>
      <c r="F167" s="83">
        <f>D167+E167</f>
        <v>100680.8</v>
      </c>
      <c r="G167" s="13">
        <v>100680.8</v>
      </c>
      <c r="H167" s="105">
        <f t="shared" si="12"/>
        <v>100</v>
      </c>
    </row>
    <row r="168" spans="1:8" s="19" customFormat="1" ht="75.75" customHeight="1">
      <c r="A168" s="17" t="s">
        <v>240</v>
      </c>
      <c r="B168" s="18" t="s">
        <v>287</v>
      </c>
      <c r="C168" s="18"/>
      <c r="D168" s="20">
        <f>D169+D176</f>
        <v>12567941.49</v>
      </c>
      <c r="E168" s="20">
        <f>E169+E176</f>
        <v>-126572.2</v>
      </c>
      <c r="F168" s="93">
        <f>F169+F176</f>
        <v>12441369.290000001</v>
      </c>
      <c r="G168" s="93">
        <f>G169+G176</f>
        <v>10639253.030000001</v>
      </c>
      <c r="H168" s="109">
        <f t="shared" si="12"/>
        <v>85.51512925953828</v>
      </c>
    </row>
    <row r="169" spans="1:8" ht="62.25" customHeight="1">
      <c r="A169" s="54" t="s">
        <v>103</v>
      </c>
      <c r="B169" s="22" t="s">
        <v>295</v>
      </c>
      <c r="C169" s="6"/>
      <c r="D169" s="26">
        <f>SUM(D171:D175)</f>
        <v>4640259.13</v>
      </c>
      <c r="E169" s="26">
        <f>SUM(E171:E175)</f>
        <v>-121607.73</v>
      </c>
      <c r="F169" s="96">
        <f>SUM(F171:F175)</f>
        <v>4518651.4</v>
      </c>
      <c r="G169" s="96">
        <f>SUM(G171:G175)</f>
        <v>3073025.59</v>
      </c>
      <c r="H169" s="107">
        <f t="shared" si="12"/>
        <v>68.00758274913616</v>
      </c>
    </row>
    <row r="170" spans="1:8" ht="33" customHeight="1">
      <c r="A170" s="46" t="s">
        <v>104</v>
      </c>
      <c r="B170" s="32" t="s">
        <v>105</v>
      </c>
      <c r="C170" s="32"/>
      <c r="D170" s="34">
        <f>SUM(D171:D175)</f>
        <v>4640259.13</v>
      </c>
      <c r="E170" s="34">
        <f>SUM(E171:E175)</f>
        <v>-121607.73</v>
      </c>
      <c r="F170" s="91">
        <f>SUM(F171:F175)</f>
        <v>4518651.4</v>
      </c>
      <c r="G170" s="91">
        <f>SUM(G171:G175)</f>
        <v>3073025.59</v>
      </c>
      <c r="H170" s="107">
        <f t="shared" si="12"/>
        <v>68.00758274913616</v>
      </c>
    </row>
    <row r="171" spans="1:8" ht="45.75" customHeight="1">
      <c r="A171" s="50" t="s">
        <v>293</v>
      </c>
      <c r="B171" s="5" t="s">
        <v>294</v>
      </c>
      <c r="C171" s="5">
        <v>200</v>
      </c>
      <c r="D171" s="13">
        <v>103342.92</v>
      </c>
      <c r="E171" s="13"/>
      <c r="F171" s="83">
        <f>D171+E171</f>
        <v>103342.92</v>
      </c>
      <c r="G171" s="13">
        <v>103342.92</v>
      </c>
      <c r="H171" s="105">
        <f t="shared" si="12"/>
        <v>100</v>
      </c>
    </row>
    <row r="172" spans="1:8" ht="46.5" customHeight="1">
      <c r="A172" s="62" t="s">
        <v>298</v>
      </c>
      <c r="B172" s="5" t="s">
        <v>299</v>
      </c>
      <c r="C172" s="5">
        <v>200</v>
      </c>
      <c r="D172" s="13">
        <v>644122.57</v>
      </c>
      <c r="E172" s="13">
        <f>-116446.78</f>
        <v>-116446.78</v>
      </c>
      <c r="F172" s="83">
        <f>D172+E172</f>
        <v>527675.7899999999</v>
      </c>
      <c r="G172" s="13">
        <v>517675.79</v>
      </c>
      <c r="H172" s="105">
        <f t="shared" si="12"/>
        <v>98.10489694818102</v>
      </c>
    </row>
    <row r="173" spans="1:8" ht="47.25">
      <c r="A173" s="62" t="s">
        <v>396</v>
      </c>
      <c r="B173" s="58" t="s">
        <v>397</v>
      </c>
      <c r="C173" s="5">
        <v>200</v>
      </c>
      <c r="D173" s="13">
        <v>1276758.26</v>
      </c>
      <c r="E173" s="13"/>
      <c r="F173" s="83">
        <f>D173+E173</f>
        <v>1276758.26</v>
      </c>
      <c r="G173" s="13">
        <v>1038946.48</v>
      </c>
      <c r="H173" s="105">
        <f t="shared" si="12"/>
        <v>81.37378175254571</v>
      </c>
    </row>
    <row r="174" spans="1:8" ht="48.75" customHeight="1">
      <c r="A174" s="55" t="s">
        <v>367</v>
      </c>
      <c r="B174" s="58" t="s">
        <v>398</v>
      </c>
      <c r="C174" s="5">
        <v>200</v>
      </c>
      <c r="D174" s="13">
        <v>836578.36</v>
      </c>
      <c r="E174" s="13">
        <f>-5160.95</f>
        <v>-5160.95</v>
      </c>
      <c r="F174" s="83">
        <f>D174+E174</f>
        <v>831417.41</v>
      </c>
      <c r="G174" s="13">
        <v>530396.86</v>
      </c>
      <c r="H174" s="105">
        <f t="shared" si="12"/>
        <v>63.79429316978098</v>
      </c>
    </row>
    <row r="175" spans="1:8" ht="63.75" customHeight="1">
      <c r="A175" s="62" t="s">
        <v>249</v>
      </c>
      <c r="B175" s="5" t="s">
        <v>248</v>
      </c>
      <c r="C175" s="5">
        <v>400</v>
      </c>
      <c r="D175" s="13">
        <v>1779457.02</v>
      </c>
      <c r="E175" s="13"/>
      <c r="F175" s="83">
        <f>D175+E175</f>
        <v>1779457.02</v>
      </c>
      <c r="G175" s="13">
        <v>882663.54</v>
      </c>
      <c r="H175" s="105">
        <f t="shared" si="12"/>
        <v>49.60297046118035</v>
      </c>
    </row>
    <row r="176" spans="1:8" ht="60.75" customHeight="1">
      <c r="A176" s="63" t="s">
        <v>87</v>
      </c>
      <c r="B176" s="22" t="s">
        <v>88</v>
      </c>
      <c r="C176" s="22"/>
      <c r="D176" s="70">
        <f>D177</f>
        <v>7927682.36</v>
      </c>
      <c r="E176" s="70">
        <f>E177</f>
        <v>-4964.47</v>
      </c>
      <c r="F176" s="97">
        <f>F177</f>
        <v>7922717.890000001</v>
      </c>
      <c r="G176" s="97">
        <f>G177</f>
        <v>7566227.44</v>
      </c>
      <c r="H176" s="107">
        <f t="shared" si="12"/>
        <v>95.50040207224897</v>
      </c>
    </row>
    <row r="177" spans="1:8" ht="32.25" customHeight="1">
      <c r="A177" s="64" t="s">
        <v>89</v>
      </c>
      <c r="B177" s="32" t="s">
        <v>90</v>
      </c>
      <c r="C177" s="32"/>
      <c r="D177" s="35">
        <f>SUM(D178:D178)</f>
        <v>7927682.36</v>
      </c>
      <c r="E177" s="35">
        <f>SUM(E178:E178)</f>
        <v>-4964.47</v>
      </c>
      <c r="F177" s="92">
        <f>SUM(F178:F178)</f>
        <v>7922717.890000001</v>
      </c>
      <c r="G177" s="92">
        <f>SUM(G178:G178)</f>
        <v>7566227.44</v>
      </c>
      <c r="H177" s="107">
        <f t="shared" si="12"/>
        <v>95.50040207224897</v>
      </c>
    </row>
    <row r="178" spans="1:8" ht="48" customHeight="1">
      <c r="A178" s="55" t="s">
        <v>472</v>
      </c>
      <c r="B178" s="5" t="s">
        <v>450</v>
      </c>
      <c r="C178" s="4">
        <v>300</v>
      </c>
      <c r="D178" s="13">
        <v>7927682.36</v>
      </c>
      <c r="E178" s="13">
        <f>-4088.34-876.13</f>
        <v>-4964.47</v>
      </c>
      <c r="F178" s="83">
        <f>D178+E178</f>
        <v>7922717.890000001</v>
      </c>
      <c r="G178" s="13">
        <v>7566227.44</v>
      </c>
      <c r="H178" s="105">
        <f t="shared" si="12"/>
        <v>95.50040207224897</v>
      </c>
    </row>
    <row r="179" spans="1:8" ht="72.75" customHeight="1">
      <c r="A179" s="27" t="s">
        <v>22</v>
      </c>
      <c r="B179" s="18" t="s">
        <v>296</v>
      </c>
      <c r="C179" s="18"/>
      <c r="D179" s="20">
        <f>D180</f>
        <v>9232920.05</v>
      </c>
      <c r="E179" s="20">
        <f>E180</f>
        <v>0</v>
      </c>
      <c r="F179" s="93">
        <f>F180</f>
        <v>9232920.05</v>
      </c>
      <c r="G179" s="93">
        <f>G180</f>
        <v>9232920.05</v>
      </c>
      <c r="H179" s="109">
        <f t="shared" si="12"/>
        <v>100</v>
      </c>
    </row>
    <row r="180" spans="1:8" ht="48.75" customHeight="1">
      <c r="A180" s="46" t="s">
        <v>117</v>
      </c>
      <c r="B180" s="36" t="s">
        <v>356</v>
      </c>
      <c r="C180" s="36"/>
      <c r="D180" s="37">
        <f>SUM(D181:D181)</f>
        <v>9232920.05</v>
      </c>
      <c r="E180" s="37">
        <f>SUM(E181:E181)</f>
        <v>0</v>
      </c>
      <c r="F180" s="95">
        <f>SUM(F181:F181)</f>
        <v>9232920.05</v>
      </c>
      <c r="G180" s="95">
        <f>SUM(G181:G181)</f>
        <v>9232920.05</v>
      </c>
      <c r="H180" s="111">
        <f t="shared" si="12"/>
        <v>100</v>
      </c>
    </row>
    <row r="181" spans="1:8" ht="64.5" customHeight="1">
      <c r="A181" s="47" t="s">
        <v>431</v>
      </c>
      <c r="B181" s="4" t="s">
        <v>340</v>
      </c>
      <c r="C181" s="4">
        <v>800</v>
      </c>
      <c r="D181" s="13">
        <f>8380000+852920.05</f>
        <v>9232920.05</v>
      </c>
      <c r="E181" s="13"/>
      <c r="F181" s="83">
        <f>D181+E181</f>
        <v>9232920.05</v>
      </c>
      <c r="G181" s="13">
        <v>9232920.05</v>
      </c>
      <c r="H181" s="105">
        <f t="shared" si="12"/>
        <v>100</v>
      </c>
    </row>
    <row r="182" spans="1:8" ht="63" customHeight="1">
      <c r="A182" s="27" t="s">
        <v>452</v>
      </c>
      <c r="B182" s="18" t="s">
        <v>457</v>
      </c>
      <c r="C182" s="18"/>
      <c r="D182" s="20">
        <f>D183+D187+D190</f>
        <v>15355129.16</v>
      </c>
      <c r="E182" s="20">
        <f>E183+E187+E190</f>
        <v>-762791.48</v>
      </c>
      <c r="F182" s="93">
        <f>F183+F187+F190</f>
        <v>14592337.68</v>
      </c>
      <c r="G182" s="93">
        <f>G183+G187+G190</f>
        <v>13763518.71</v>
      </c>
      <c r="H182" s="109">
        <f t="shared" si="12"/>
        <v>94.32017687518318</v>
      </c>
    </row>
    <row r="183" spans="1:8" ht="18" customHeight="1">
      <c r="A183" s="46" t="s">
        <v>118</v>
      </c>
      <c r="B183" s="36" t="s">
        <v>119</v>
      </c>
      <c r="C183" s="36"/>
      <c r="D183" s="37">
        <f>SUM(D184:D186)</f>
        <v>7428135.68</v>
      </c>
      <c r="E183" s="37">
        <f>SUM(E184:E186)</f>
        <v>52198.26</v>
      </c>
      <c r="F183" s="95">
        <f>SUM(F184:F186)</f>
        <v>7480333.9399999995</v>
      </c>
      <c r="G183" s="95">
        <f>SUM(G184:G186)</f>
        <v>6837192.93</v>
      </c>
      <c r="H183" s="106">
        <f t="shared" si="12"/>
        <v>91.40224199669889</v>
      </c>
    </row>
    <row r="184" spans="1:8" s="21" customFormat="1" ht="30" customHeight="1">
      <c r="A184" s="55" t="s">
        <v>458</v>
      </c>
      <c r="B184" s="5" t="s">
        <v>459</v>
      </c>
      <c r="C184" s="5">
        <v>200</v>
      </c>
      <c r="D184" s="14">
        <v>212151.17</v>
      </c>
      <c r="E184" s="14"/>
      <c r="F184" s="83">
        <f>D184+E184</f>
        <v>212151.17</v>
      </c>
      <c r="G184" s="14">
        <v>150656.78</v>
      </c>
      <c r="H184" s="105">
        <f t="shared" si="12"/>
        <v>71.01388128097526</v>
      </c>
    </row>
    <row r="185" spans="1:8" ht="46.5" customHeight="1">
      <c r="A185" s="47" t="s">
        <v>460</v>
      </c>
      <c r="B185" s="4" t="s">
        <v>461</v>
      </c>
      <c r="C185" s="4">
        <v>200</v>
      </c>
      <c r="D185" s="13">
        <v>1234620.89</v>
      </c>
      <c r="E185" s="13">
        <v>52198.26</v>
      </c>
      <c r="F185" s="83">
        <f>D185+E185</f>
        <v>1286819.15</v>
      </c>
      <c r="G185" s="13">
        <v>705172.53</v>
      </c>
      <c r="H185" s="105">
        <f t="shared" si="12"/>
        <v>54.799660853663866</v>
      </c>
    </row>
    <row r="186" spans="1:8" ht="62.25" customHeight="1">
      <c r="A186" s="47" t="s">
        <v>154</v>
      </c>
      <c r="B186" s="4" t="s">
        <v>206</v>
      </c>
      <c r="C186" s="4">
        <v>200</v>
      </c>
      <c r="D186" s="13">
        <v>5981363.62</v>
      </c>
      <c r="E186" s="13"/>
      <c r="F186" s="83">
        <f>D186+E186</f>
        <v>5981363.62</v>
      </c>
      <c r="G186" s="13">
        <v>5981363.62</v>
      </c>
      <c r="H186" s="105">
        <f t="shared" si="12"/>
        <v>100</v>
      </c>
    </row>
    <row r="187" spans="1:8" ht="25.5" customHeight="1">
      <c r="A187" s="46" t="s">
        <v>120</v>
      </c>
      <c r="B187" s="36" t="s">
        <v>121</v>
      </c>
      <c r="C187" s="36"/>
      <c r="D187" s="38">
        <f>SUM(D188:D189)</f>
        <v>7826993.4799999995</v>
      </c>
      <c r="E187" s="38">
        <f>SUM(E188:E189)</f>
        <v>-814989.74</v>
      </c>
      <c r="F187" s="98">
        <f>SUM(F188:F189)</f>
        <v>7012003.739999999</v>
      </c>
      <c r="G187" s="98">
        <f>SUM(G188:G189)</f>
        <v>6926325.78</v>
      </c>
      <c r="H187" s="111">
        <f t="shared" si="12"/>
        <v>98.7781244395058</v>
      </c>
    </row>
    <row r="188" spans="1:8" ht="64.5" customHeight="1">
      <c r="A188" s="47" t="s">
        <v>154</v>
      </c>
      <c r="B188" s="4" t="s">
        <v>153</v>
      </c>
      <c r="C188" s="4">
        <v>200</v>
      </c>
      <c r="D188" s="13">
        <v>85677.96</v>
      </c>
      <c r="E188" s="13"/>
      <c r="F188" s="83">
        <f>D188+E188</f>
        <v>85677.96</v>
      </c>
      <c r="G188" s="13">
        <v>0</v>
      </c>
      <c r="H188" s="105">
        <f t="shared" si="12"/>
        <v>0</v>
      </c>
    </row>
    <row r="189" spans="1:8" ht="159.75" customHeight="1">
      <c r="A189" s="47" t="s">
        <v>231</v>
      </c>
      <c r="B189" s="4" t="s">
        <v>232</v>
      </c>
      <c r="C189" s="4">
        <v>500</v>
      </c>
      <c r="D189" s="13">
        <v>7741315.52</v>
      </c>
      <c r="E189" s="13">
        <v>-814989.74</v>
      </c>
      <c r="F189" s="83">
        <f>D189+E189</f>
        <v>6926325.779999999</v>
      </c>
      <c r="G189" s="13">
        <v>6926325.78</v>
      </c>
      <c r="H189" s="105">
        <f t="shared" si="12"/>
        <v>100.00000000000003</v>
      </c>
    </row>
    <row r="190" spans="1:8" ht="31.5" customHeight="1">
      <c r="A190" s="51" t="s">
        <v>122</v>
      </c>
      <c r="B190" s="36" t="s">
        <v>123</v>
      </c>
      <c r="C190" s="36"/>
      <c r="D190" s="38">
        <f>SUM(D191:D191)</f>
        <v>100000</v>
      </c>
      <c r="E190" s="38">
        <f>SUM(E191:E191)</f>
        <v>0</v>
      </c>
      <c r="F190" s="98">
        <f>SUM(F191:F191)</f>
        <v>100000</v>
      </c>
      <c r="G190" s="98">
        <f>SUM(G191:G191)</f>
        <v>0</v>
      </c>
      <c r="H190" s="106">
        <f t="shared" si="12"/>
        <v>0</v>
      </c>
    </row>
    <row r="191" spans="1:8" ht="47.25" customHeight="1">
      <c r="A191" s="47" t="s">
        <v>258</v>
      </c>
      <c r="B191" s="4" t="s">
        <v>259</v>
      </c>
      <c r="C191" s="4">
        <v>200</v>
      </c>
      <c r="D191" s="13">
        <v>100000</v>
      </c>
      <c r="E191" s="13"/>
      <c r="F191" s="83">
        <f>D191+E191</f>
        <v>100000</v>
      </c>
      <c r="G191" s="13">
        <v>0</v>
      </c>
      <c r="H191" s="105">
        <f t="shared" si="12"/>
        <v>0</v>
      </c>
    </row>
    <row r="192" spans="1:8" ht="56.25" customHeight="1">
      <c r="A192" s="27" t="s">
        <v>180</v>
      </c>
      <c r="B192" s="18" t="s">
        <v>260</v>
      </c>
      <c r="C192" s="18"/>
      <c r="D192" s="20">
        <f>D193+D200</f>
        <v>564350</v>
      </c>
      <c r="E192" s="20">
        <f>E193+E200</f>
        <v>-9608</v>
      </c>
      <c r="F192" s="93">
        <f>F193+F200</f>
        <v>554742</v>
      </c>
      <c r="G192" s="93">
        <f>G193+G200</f>
        <v>554742</v>
      </c>
      <c r="H192" s="109">
        <f t="shared" si="12"/>
        <v>100</v>
      </c>
    </row>
    <row r="193" spans="1:8" s="19" customFormat="1" ht="27.75" customHeight="1">
      <c r="A193" s="23" t="s">
        <v>454</v>
      </c>
      <c r="B193" s="24" t="s">
        <v>304</v>
      </c>
      <c r="C193" s="24"/>
      <c r="D193" s="79">
        <f>SUM(D195:D199)</f>
        <v>506850</v>
      </c>
      <c r="E193" s="79">
        <f>SUM(E195:E199)</f>
        <v>-4000</v>
      </c>
      <c r="F193" s="99">
        <f>SUM(F195:F199)</f>
        <v>502850</v>
      </c>
      <c r="G193" s="99">
        <f>SUM(G195:G199)</f>
        <v>502850</v>
      </c>
      <c r="H193" s="106">
        <f t="shared" si="12"/>
        <v>100</v>
      </c>
    </row>
    <row r="194" spans="1:8" s="19" customFormat="1" ht="33" customHeight="1">
      <c r="A194" s="46" t="s">
        <v>101</v>
      </c>
      <c r="B194" s="36" t="s">
        <v>102</v>
      </c>
      <c r="C194" s="36"/>
      <c r="D194" s="37">
        <f>SUM(D195:D199)</f>
        <v>506850</v>
      </c>
      <c r="E194" s="37">
        <f>SUM(E195:E199)</f>
        <v>-4000</v>
      </c>
      <c r="F194" s="95">
        <f>SUM(F195:F199)</f>
        <v>502850</v>
      </c>
      <c r="G194" s="95">
        <f>SUM(G195:G199)</f>
        <v>502850</v>
      </c>
      <c r="H194" s="106">
        <f t="shared" si="12"/>
        <v>100</v>
      </c>
    </row>
    <row r="195" spans="1:8" ht="63.75" customHeight="1">
      <c r="A195" s="47" t="s">
        <v>191</v>
      </c>
      <c r="B195" s="4" t="s">
        <v>341</v>
      </c>
      <c r="C195" s="4">
        <v>600</v>
      </c>
      <c r="D195" s="13">
        <v>151000</v>
      </c>
      <c r="E195" s="13"/>
      <c r="F195" s="83">
        <f>D195+E195</f>
        <v>151000</v>
      </c>
      <c r="G195" s="13">
        <v>151000</v>
      </c>
      <c r="H195" s="105">
        <f t="shared" si="12"/>
        <v>100</v>
      </c>
    </row>
    <row r="196" spans="1:8" ht="47.25" customHeight="1">
      <c r="A196" s="47" t="s">
        <v>347</v>
      </c>
      <c r="B196" s="4" t="s">
        <v>342</v>
      </c>
      <c r="C196" s="4">
        <v>600</v>
      </c>
      <c r="D196" s="13">
        <v>105000</v>
      </c>
      <c r="E196" s="13"/>
      <c r="F196" s="83">
        <f>D196+E196</f>
        <v>105000</v>
      </c>
      <c r="G196" s="13">
        <v>105000</v>
      </c>
      <c r="H196" s="105">
        <f t="shared" si="12"/>
        <v>100</v>
      </c>
    </row>
    <row r="197" spans="1:8" ht="30.75" customHeight="1">
      <c r="A197" s="47" t="s">
        <v>71</v>
      </c>
      <c r="B197" s="4" t="s">
        <v>72</v>
      </c>
      <c r="C197" s="4">
        <v>200</v>
      </c>
      <c r="D197" s="13">
        <v>26000</v>
      </c>
      <c r="E197" s="13"/>
      <c r="F197" s="83">
        <f>D197+E197</f>
        <v>26000</v>
      </c>
      <c r="G197" s="13">
        <v>26000</v>
      </c>
      <c r="H197" s="105">
        <f aca="true" t="shared" si="14" ref="H197:H256">G197/F197*100</f>
        <v>100</v>
      </c>
    </row>
    <row r="198" spans="1:8" ht="45.75" customHeight="1">
      <c r="A198" s="47" t="s">
        <v>463</v>
      </c>
      <c r="B198" s="4" t="s">
        <v>464</v>
      </c>
      <c r="C198" s="4">
        <v>300</v>
      </c>
      <c r="D198" s="13">
        <v>10000</v>
      </c>
      <c r="E198" s="13">
        <v>-4000</v>
      </c>
      <c r="F198" s="83">
        <f>D198+E198</f>
        <v>6000</v>
      </c>
      <c r="G198" s="13">
        <v>6000</v>
      </c>
      <c r="H198" s="105">
        <f t="shared" si="14"/>
        <v>100</v>
      </c>
    </row>
    <row r="199" spans="1:8" ht="131.25" customHeight="1">
      <c r="A199" s="52" t="s">
        <v>114</v>
      </c>
      <c r="B199" s="4" t="s">
        <v>399</v>
      </c>
      <c r="C199" s="4">
        <v>300</v>
      </c>
      <c r="D199" s="13">
        <v>214850</v>
      </c>
      <c r="E199" s="13"/>
      <c r="F199" s="83">
        <f>D199+E199</f>
        <v>214850</v>
      </c>
      <c r="G199" s="13">
        <v>214850</v>
      </c>
      <c r="H199" s="105">
        <f t="shared" si="14"/>
        <v>100</v>
      </c>
    </row>
    <row r="200" spans="1:8" s="19" customFormat="1" ht="24" customHeight="1">
      <c r="A200" s="23" t="s">
        <v>453</v>
      </c>
      <c r="B200" s="24" t="s">
        <v>303</v>
      </c>
      <c r="C200" s="24"/>
      <c r="D200" s="25">
        <f>SUM(D202:D204)</f>
        <v>57500</v>
      </c>
      <c r="E200" s="25">
        <f>SUM(E202:E204)</f>
        <v>-5608</v>
      </c>
      <c r="F200" s="100">
        <f>SUM(F202:F204)</f>
        <v>51892</v>
      </c>
      <c r="G200" s="100">
        <f>SUM(G202:G204)</f>
        <v>51892</v>
      </c>
      <c r="H200" s="111">
        <f t="shared" si="14"/>
        <v>100</v>
      </c>
    </row>
    <row r="201" spans="1:8" s="19" customFormat="1" ht="32.25" customHeight="1">
      <c r="A201" s="46" t="s">
        <v>261</v>
      </c>
      <c r="B201" s="36" t="s">
        <v>273</v>
      </c>
      <c r="C201" s="36"/>
      <c r="D201" s="38">
        <f>SUM(D202:D204)</f>
        <v>57500</v>
      </c>
      <c r="E201" s="38">
        <f>SUM(E202:E204)</f>
        <v>-5608</v>
      </c>
      <c r="F201" s="98">
        <f>SUM(F202:F204)</f>
        <v>51892</v>
      </c>
      <c r="G201" s="98">
        <f>SUM(G202:G204)</f>
        <v>51892</v>
      </c>
      <c r="H201" s="111">
        <f t="shared" si="14"/>
        <v>100</v>
      </c>
    </row>
    <row r="202" spans="1:8" ht="45.75" customHeight="1">
      <c r="A202" s="47" t="s">
        <v>302</v>
      </c>
      <c r="B202" s="4" t="s">
        <v>254</v>
      </c>
      <c r="C202" s="4">
        <v>300</v>
      </c>
      <c r="D202" s="13">
        <v>45500</v>
      </c>
      <c r="E202" s="13"/>
      <c r="F202" s="83">
        <f>D202+E202</f>
        <v>45500</v>
      </c>
      <c r="G202" s="13">
        <v>45500</v>
      </c>
      <c r="H202" s="105">
        <f t="shared" si="14"/>
        <v>100</v>
      </c>
    </row>
    <row r="203" spans="1:8" ht="30" customHeight="1">
      <c r="A203" s="47" t="s">
        <v>481</v>
      </c>
      <c r="B203" s="4" t="s">
        <v>255</v>
      </c>
      <c r="C203" s="4">
        <v>200</v>
      </c>
      <c r="D203" s="13">
        <v>10500</v>
      </c>
      <c r="E203" s="13">
        <v>-5025</v>
      </c>
      <c r="F203" s="83">
        <f>D203+E203</f>
        <v>5475</v>
      </c>
      <c r="G203" s="13">
        <v>5475</v>
      </c>
      <c r="H203" s="105">
        <f t="shared" si="14"/>
        <v>100</v>
      </c>
    </row>
    <row r="204" spans="1:8" ht="30" customHeight="1">
      <c r="A204" s="47" t="s">
        <v>305</v>
      </c>
      <c r="B204" s="4" t="s">
        <v>255</v>
      </c>
      <c r="C204" s="4">
        <v>300</v>
      </c>
      <c r="D204" s="13">
        <v>1500</v>
      </c>
      <c r="E204" s="13">
        <v>-583</v>
      </c>
      <c r="F204" s="83">
        <f>D204+E204</f>
        <v>917</v>
      </c>
      <c r="G204" s="13">
        <v>917</v>
      </c>
      <c r="H204" s="105">
        <f t="shared" si="14"/>
        <v>100</v>
      </c>
    </row>
    <row r="205" spans="1:8" s="19" customFormat="1" ht="56.25" customHeight="1">
      <c r="A205" s="27" t="s">
        <v>179</v>
      </c>
      <c r="B205" s="18" t="s">
        <v>257</v>
      </c>
      <c r="C205" s="18"/>
      <c r="D205" s="20">
        <f>D206+D213</f>
        <v>9040838.950000001</v>
      </c>
      <c r="E205" s="20">
        <f>E206+E213</f>
        <v>-163149.7</v>
      </c>
      <c r="F205" s="93">
        <f>F206+F213</f>
        <v>8877689.25</v>
      </c>
      <c r="G205" s="93">
        <f>G206+G213</f>
        <v>8620128.55</v>
      </c>
      <c r="H205" s="109">
        <f t="shared" si="14"/>
        <v>97.09878671412159</v>
      </c>
    </row>
    <row r="206" spans="1:8" s="19" customFormat="1" ht="32.25" customHeight="1">
      <c r="A206" s="46" t="s">
        <v>275</v>
      </c>
      <c r="B206" s="36" t="s">
        <v>277</v>
      </c>
      <c r="C206" s="36"/>
      <c r="D206" s="37">
        <f>SUM(D207:D212)</f>
        <v>7470691.65</v>
      </c>
      <c r="E206" s="37">
        <f>SUM(E207:E212)</f>
        <v>-105106.90000000001</v>
      </c>
      <c r="F206" s="95">
        <f>SUM(F207:F212)</f>
        <v>7365584.75</v>
      </c>
      <c r="G206" s="95">
        <f>SUM(G207:G212)</f>
        <v>7168381.05</v>
      </c>
      <c r="H206" s="111">
        <f t="shared" si="14"/>
        <v>97.32263348134036</v>
      </c>
    </row>
    <row r="207" spans="1:8" ht="61.5" customHeight="1">
      <c r="A207" s="47" t="s">
        <v>193</v>
      </c>
      <c r="B207" s="4" t="s">
        <v>234</v>
      </c>
      <c r="C207" s="4">
        <v>100</v>
      </c>
      <c r="D207" s="13">
        <v>4319165.63</v>
      </c>
      <c r="E207" s="13">
        <f>-190000-2157.73</f>
        <v>-192157.73</v>
      </c>
      <c r="F207" s="83">
        <f aca="true" t="shared" si="15" ref="F207:F212">D207+E207</f>
        <v>4127007.9</v>
      </c>
      <c r="G207" s="13">
        <v>4124074.78</v>
      </c>
      <c r="H207" s="105">
        <f t="shared" si="14"/>
        <v>99.92892865555211</v>
      </c>
    </row>
    <row r="208" spans="1:8" ht="49.5" customHeight="1">
      <c r="A208" s="47" t="s">
        <v>12</v>
      </c>
      <c r="B208" s="4" t="s">
        <v>234</v>
      </c>
      <c r="C208" s="4">
        <v>200</v>
      </c>
      <c r="D208" s="13">
        <v>1893109.19</v>
      </c>
      <c r="E208" s="13">
        <v>-128722.39</v>
      </c>
      <c r="F208" s="83">
        <f t="shared" si="15"/>
        <v>1764386.8</v>
      </c>
      <c r="G208" s="13">
        <v>1572579.22</v>
      </c>
      <c r="H208" s="105">
        <f t="shared" si="14"/>
        <v>89.12893816707312</v>
      </c>
    </row>
    <row r="209" spans="1:8" ht="45.75" customHeight="1">
      <c r="A209" s="47" t="s">
        <v>352</v>
      </c>
      <c r="B209" s="4" t="s">
        <v>234</v>
      </c>
      <c r="C209" s="4">
        <v>800</v>
      </c>
      <c r="D209" s="13">
        <v>283994</v>
      </c>
      <c r="E209" s="13"/>
      <c r="F209" s="83">
        <f t="shared" si="15"/>
        <v>283994</v>
      </c>
      <c r="G209" s="13">
        <v>283994</v>
      </c>
      <c r="H209" s="105">
        <f t="shared" si="14"/>
        <v>100</v>
      </c>
    </row>
    <row r="210" spans="1:8" ht="48" customHeight="1">
      <c r="A210" s="47" t="s">
        <v>75</v>
      </c>
      <c r="B210" s="7" t="s">
        <v>483</v>
      </c>
      <c r="C210" s="4">
        <v>200</v>
      </c>
      <c r="D210" s="13">
        <v>42986</v>
      </c>
      <c r="E210" s="13"/>
      <c r="F210" s="83">
        <f t="shared" si="15"/>
        <v>42986</v>
      </c>
      <c r="G210" s="13">
        <v>40523</v>
      </c>
      <c r="H210" s="105">
        <f t="shared" si="14"/>
        <v>94.27022751593542</v>
      </c>
    </row>
    <row r="211" spans="1:8" ht="111" customHeight="1">
      <c r="A211" s="47" t="s">
        <v>74</v>
      </c>
      <c r="B211" s="7" t="s">
        <v>175</v>
      </c>
      <c r="C211" s="4">
        <v>100</v>
      </c>
      <c r="D211" s="13">
        <v>922122.46</v>
      </c>
      <c r="E211" s="13">
        <v>213615.49</v>
      </c>
      <c r="F211" s="83">
        <f t="shared" si="15"/>
        <v>1135737.95</v>
      </c>
      <c r="G211" s="13">
        <v>1135737.95</v>
      </c>
      <c r="H211" s="105">
        <f t="shared" si="14"/>
        <v>100</v>
      </c>
    </row>
    <row r="212" spans="1:8" ht="94.5" customHeight="1">
      <c r="A212" s="47" t="s">
        <v>350</v>
      </c>
      <c r="B212" s="7" t="s">
        <v>235</v>
      </c>
      <c r="C212" s="4">
        <v>100</v>
      </c>
      <c r="D212" s="13">
        <v>9314.37</v>
      </c>
      <c r="E212" s="13">
        <v>2157.73</v>
      </c>
      <c r="F212" s="83">
        <f t="shared" si="15"/>
        <v>11472.1</v>
      </c>
      <c r="G212" s="13">
        <v>11472.1</v>
      </c>
      <c r="H212" s="105">
        <f t="shared" si="14"/>
        <v>100</v>
      </c>
    </row>
    <row r="213" spans="1:8" ht="32.25" customHeight="1">
      <c r="A213" s="46" t="s">
        <v>276</v>
      </c>
      <c r="B213" s="40" t="s">
        <v>278</v>
      </c>
      <c r="C213" s="32"/>
      <c r="D213" s="35">
        <f>SUM(D214:D217)</f>
        <v>1570147.3</v>
      </c>
      <c r="E213" s="35">
        <f>SUM(E214:E217)</f>
        <v>-58042.79999999999</v>
      </c>
      <c r="F213" s="92">
        <f>SUM(F214:F217)</f>
        <v>1512104.5</v>
      </c>
      <c r="G213" s="92">
        <f>SUM(G214:G217)</f>
        <v>1451747.5</v>
      </c>
      <c r="H213" s="107">
        <f t="shared" si="14"/>
        <v>96.00841079435978</v>
      </c>
    </row>
    <row r="214" spans="1:8" ht="48.75" customHeight="1">
      <c r="A214" s="47" t="s">
        <v>83</v>
      </c>
      <c r="B214" s="4" t="s">
        <v>365</v>
      </c>
      <c r="C214" s="4">
        <v>200</v>
      </c>
      <c r="D214" s="13">
        <v>86417</v>
      </c>
      <c r="E214" s="13"/>
      <c r="F214" s="83">
        <f>D214+E214</f>
        <v>86417</v>
      </c>
      <c r="G214" s="13">
        <v>26060</v>
      </c>
      <c r="H214" s="105">
        <f t="shared" si="14"/>
        <v>30.156103544441486</v>
      </c>
    </row>
    <row r="215" spans="1:8" ht="93.75" customHeight="1">
      <c r="A215" s="65" t="s">
        <v>353</v>
      </c>
      <c r="B215" s="67" t="s">
        <v>272</v>
      </c>
      <c r="C215" s="4">
        <v>200</v>
      </c>
      <c r="D215" s="13">
        <v>797600</v>
      </c>
      <c r="E215" s="13">
        <v>228758.7</v>
      </c>
      <c r="F215" s="83">
        <f>D215+E215</f>
        <v>1026358.7</v>
      </c>
      <c r="G215" s="13">
        <v>1026358.7</v>
      </c>
      <c r="H215" s="105">
        <f t="shared" si="14"/>
        <v>100</v>
      </c>
    </row>
    <row r="216" spans="1:8" ht="63" customHeight="1">
      <c r="A216" s="77" t="s">
        <v>84</v>
      </c>
      <c r="B216" s="78" t="s">
        <v>271</v>
      </c>
      <c r="C216" s="68">
        <v>200</v>
      </c>
      <c r="D216" s="13">
        <v>383100</v>
      </c>
      <c r="E216" s="13">
        <v>-286801.5</v>
      </c>
      <c r="F216" s="83">
        <f>D216+E216</f>
        <v>96298.5</v>
      </c>
      <c r="G216" s="13">
        <v>96298.5</v>
      </c>
      <c r="H216" s="105">
        <f t="shared" si="14"/>
        <v>100</v>
      </c>
    </row>
    <row r="217" spans="1:8" ht="48" customHeight="1">
      <c r="A217" s="75" t="s">
        <v>37</v>
      </c>
      <c r="B217" s="76" t="s">
        <v>36</v>
      </c>
      <c r="C217" s="4">
        <v>200</v>
      </c>
      <c r="D217" s="13">
        <v>303030.3</v>
      </c>
      <c r="E217" s="13"/>
      <c r="F217" s="83">
        <f>D217+E217</f>
        <v>303030.3</v>
      </c>
      <c r="G217" s="13">
        <v>303030.3</v>
      </c>
      <c r="H217" s="105">
        <f t="shared" si="14"/>
        <v>100</v>
      </c>
    </row>
    <row r="218" spans="1:8" s="28" customFormat="1" ht="54.75" customHeight="1">
      <c r="A218" s="27" t="s">
        <v>0</v>
      </c>
      <c r="B218" s="18" t="s">
        <v>93</v>
      </c>
      <c r="C218" s="18"/>
      <c r="D218" s="20" t="e">
        <f>D219+#REF!+#REF!+D224</f>
        <v>#REF!</v>
      </c>
      <c r="E218" s="20" t="e">
        <f>E219+#REF!+#REF!+E224</f>
        <v>#REF!</v>
      </c>
      <c r="F218" s="93">
        <f>F219+F224</f>
        <v>13735309.790000001</v>
      </c>
      <c r="G218" s="93">
        <f>G219+G224</f>
        <v>13372861.06</v>
      </c>
      <c r="H218" s="109">
        <f t="shared" si="14"/>
        <v>97.36118998740108</v>
      </c>
    </row>
    <row r="219" spans="1:8" ht="33" customHeight="1">
      <c r="A219" s="23" t="s">
        <v>369</v>
      </c>
      <c r="B219" s="22" t="s">
        <v>95</v>
      </c>
      <c r="C219" s="22"/>
      <c r="D219" s="26">
        <f>D220+D222</f>
        <v>69880</v>
      </c>
      <c r="E219" s="26">
        <f>E220+E222</f>
        <v>0</v>
      </c>
      <c r="F219" s="96">
        <f>F220+F222</f>
        <v>69880</v>
      </c>
      <c r="G219" s="96">
        <f>G220+G222</f>
        <v>69880</v>
      </c>
      <c r="H219" s="107">
        <f t="shared" si="14"/>
        <v>100</v>
      </c>
    </row>
    <row r="220" spans="1:8" ht="33" customHeight="1">
      <c r="A220" s="46" t="s">
        <v>280</v>
      </c>
      <c r="B220" s="32" t="s">
        <v>279</v>
      </c>
      <c r="C220" s="32"/>
      <c r="D220" s="34">
        <f>D221</f>
        <v>18000</v>
      </c>
      <c r="E220" s="34">
        <f>E221</f>
        <v>0</v>
      </c>
      <c r="F220" s="91">
        <f>F221</f>
        <v>18000</v>
      </c>
      <c r="G220" s="91">
        <f>G221</f>
        <v>18000</v>
      </c>
      <c r="H220" s="107">
        <f t="shared" si="14"/>
        <v>100</v>
      </c>
    </row>
    <row r="221" spans="1:8" ht="45.75" customHeight="1">
      <c r="A221" s="47" t="s">
        <v>409</v>
      </c>
      <c r="B221" s="4" t="s">
        <v>94</v>
      </c>
      <c r="C221" s="4">
        <v>600</v>
      </c>
      <c r="D221" s="13">
        <v>18000</v>
      </c>
      <c r="E221" s="13"/>
      <c r="F221" s="83">
        <f>D221+E221</f>
        <v>18000</v>
      </c>
      <c r="G221" s="13">
        <v>18000</v>
      </c>
      <c r="H221" s="105">
        <f t="shared" si="14"/>
        <v>100</v>
      </c>
    </row>
    <row r="222" spans="1:8" ht="32.25" customHeight="1">
      <c r="A222" s="46" t="s">
        <v>360</v>
      </c>
      <c r="B222" s="36" t="s">
        <v>359</v>
      </c>
      <c r="C222" s="36"/>
      <c r="D222" s="38">
        <f>SUM(D223:D223)</f>
        <v>51880</v>
      </c>
      <c r="E222" s="38">
        <f>SUM(E223:E223)</f>
        <v>0</v>
      </c>
      <c r="F222" s="98">
        <f>SUM(F223:F223)</f>
        <v>51880</v>
      </c>
      <c r="G222" s="98">
        <f>SUM(G223:G223)</f>
        <v>51880</v>
      </c>
      <c r="H222" s="106">
        <f t="shared" si="14"/>
        <v>100</v>
      </c>
    </row>
    <row r="223" spans="1:8" ht="48.75" customHeight="1">
      <c r="A223" s="47" t="s">
        <v>176</v>
      </c>
      <c r="B223" s="4" t="s">
        <v>358</v>
      </c>
      <c r="C223" s="4">
        <v>600</v>
      </c>
      <c r="D223" s="13">
        <v>51880</v>
      </c>
      <c r="E223" s="13"/>
      <c r="F223" s="83">
        <f>D223+E223</f>
        <v>51880</v>
      </c>
      <c r="G223" s="13">
        <v>51880</v>
      </c>
      <c r="H223" s="105">
        <f t="shared" si="14"/>
        <v>100</v>
      </c>
    </row>
    <row r="224" spans="1:8" ht="33.75" customHeight="1">
      <c r="A224" s="23" t="s">
        <v>343</v>
      </c>
      <c r="B224" s="22" t="s">
        <v>155</v>
      </c>
      <c r="C224" s="22"/>
      <c r="D224" s="26">
        <f>SUM(D226)</f>
        <v>13726233.63</v>
      </c>
      <c r="E224" s="26">
        <f>SUM(E226)</f>
        <v>-60803.84</v>
      </c>
      <c r="F224" s="96">
        <f>SUM(F226)</f>
        <v>13665429.790000001</v>
      </c>
      <c r="G224" s="96">
        <f>SUM(G226)</f>
        <v>13302981.06</v>
      </c>
      <c r="H224" s="106">
        <f t="shared" si="14"/>
        <v>97.34769608003671</v>
      </c>
    </row>
    <row r="225" spans="1:8" ht="33.75" customHeight="1">
      <c r="A225" s="46" t="s">
        <v>344</v>
      </c>
      <c r="B225" s="32" t="s">
        <v>156</v>
      </c>
      <c r="C225" s="32"/>
      <c r="D225" s="34">
        <f>SUM(D226)</f>
        <v>13726233.63</v>
      </c>
      <c r="E225" s="34">
        <f>SUM(E226)</f>
        <v>-60803.84</v>
      </c>
      <c r="F225" s="91">
        <f>SUM(F226)</f>
        <v>13665429.790000001</v>
      </c>
      <c r="G225" s="91">
        <f>SUM(G226)</f>
        <v>13302981.06</v>
      </c>
      <c r="H225" s="106">
        <f t="shared" si="14"/>
        <v>97.34769608003671</v>
      </c>
    </row>
    <row r="226" spans="1:8" ht="33.75" customHeight="1">
      <c r="A226" s="47" t="s">
        <v>205</v>
      </c>
      <c r="B226" s="4" t="s">
        <v>157</v>
      </c>
      <c r="C226" s="4">
        <v>400</v>
      </c>
      <c r="D226" s="13">
        <v>13726233.63</v>
      </c>
      <c r="E226" s="13">
        <f>-60803.84</f>
        <v>-60803.84</v>
      </c>
      <c r="F226" s="83">
        <f>D226+E226</f>
        <v>13665429.790000001</v>
      </c>
      <c r="G226" s="13">
        <v>13302981.06</v>
      </c>
      <c r="H226" s="105">
        <f t="shared" si="14"/>
        <v>97.34769608003671</v>
      </c>
    </row>
    <row r="227" spans="1:8" ht="37.5" customHeight="1">
      <c r="A227" s="27" t="s">
        <v>477</v>
      </c>
      <c r="B227" s="18" t="s">
        <v>96</v>
      </c>
      <c r="C227" s="18"/>
      <c r="D227" s="20">
        <f>D228+D231</f>
        <v>4536999</v>
      </c>
      <c r="E227" s="20">
        <f>E228+E231</f>
        <v>-15460.92</v>
      </c>
      <c r="F227" s="93">
        <f>F228+F231</f>
        <v>4521538.08</v>
      </c>
      <c r="G227" s="93">
        <f>G228+G231</f>
        <v>4490182.149999999</v>
      </c>
      <c r="H227" s="109">
        <f t="shared" si="14"/>
        <v>99.30652071385407</v>
      </c>
    </row>
    <row r="228" spans="1:8" ht="30" customHeight="1">
      <c r="A228" s="23" t="s">
        <v>229</v>
      </c>
      <c r="B228" s="32" t="s">
        <v>412</v>
      </c>
      <c r="C228" s="22"/>
      <c r="D228" s="26">
        <f>SUM(D230:D230)</f>
        <v>20000</v>
      </c>
      <c r="E228" s="26">
        <f>SUM(E230:E230)</f>
        <v>0</v>
      </c>
      <c r="F228" s="96">
        <f>SUM(F230:F230)</f>
        <v>20000</v>
      </c>
      <c r="G228" s="96">
        <f>SUM(G230:G230)</f>
        <v>20000</v>
      </c>
      <c r="H228" s="107">
        <f t="shared" si="14"/>
        <v>100</v>
      </c>
    </row>
    <row r="229" spans="1:8" ht="31.5" customHeight="1">
      <c r="A229" s="46" t="s">
        <v>63</v>
      </c>
      <c r="B229" s="32" t="s">
        <v>64</v>
      </c>
      <c r="C229" s="32"/>
      <c r="D229" s="34">
        <f>SUM(D230:D230)</f>
        <v>20000</v>
      </c>
      <c r="E229" s="34">
        <f>SUM(E230:E230)</f>
        <v>0</v>
      </c>
      <c r="F229" s="91">
        <f>SUM(F230:F230)</f>
        <v>20000</v>
      </c>
      <c r="G229" s="91">
        <f>SUM(G230:G230)</f>
        <v>20000</v>
      </c>
      <c r="H229" s="107">
        <f t="shared" si="14"/>
        <v>100</v>
      </c>
    </row>
    <row r="230" spans="1:8" ht="47.25" customHeight="1">
      <c r="A230" s="47" t="s">
        <v>414</v>
      </c>
      <c r="B230" s="4" t="s">
        <v>413</v>
      </c>
      <c r="C230" s="4">
        <v>200</v>
      </c>
      <c r="D230" s="13">
        <v>20000</v>
      </c>
      <c r="E230" s="13"/>
      <c r="F230" s="83">
        <f>D230+E230</f>
        <v>20000</v>
      </c>
      <c r="G230" s="13">
        <v>20000</v>
      </c>
      <c r="H230" s="105">
        <f t="shared" si="14"/>
        <v>100</v>
      </c>
    </row>
    <row r="231" spans="1:8" ht="66" customHeight="1">
      <c r="A231" s="46" t="s">
        <v>228</v>
      </c>
      <c r="B231" s="32" t="s">
        <v>415</v>
      </c>
      <c r="C231" s="22"/>
      <c r="D231" s="35">
        <f>SUM(D233:D239)</f>
        <v>4516999</v>
      </c>
      <c r="E231" s="35">
        <f>SUM(E233:E239)</f>
        <v>-15460.92</v>
      </c>
      <c r="F231" s="92">
        <f>SUM(F233:F239)</f>
        <v>4501538.08</v>
      </c>
      <c r="G231" s="92">
        <f>SUM(G233:G239)</f>
        <v>4470182.149999999</v>
      </c>
      <c r="H231" s="107">
        <f t="shared" si="14"/>
        <v>99.30343963679185</v>
      </c>
    </row>
    <row r="232" spans="1:8" ht="51.75" customHeight="1">
      <c r="A232" s="46" t="s">
        <v>65</v>
      </c>
      <c r="B232" s="32" t="s">
        <v>66</v>
      </c>
      <c r="C232" s="32"/>
      <c r="D232" s="35">
        <f>SUM(D233:D239)</f>
        <v>4516999</v>
      </c>
      <c r="E232" s="35">
        <f>SUM(E233:E239)</f>
        <v>-15460.92</v>
      </c>
      <c r="F232" s="92">
        <f>SUM(F233:F239)</f>
        <v>4501538.08</v>
      </c>
      <c r="G232" s="92">
        <f>SUM(G233:G239)</f>
        <v>4470182.149999999</v>
      </c>
      <c r="H232" s="107">
        <f t="shared" si="14"/>
        <v>99.30343963679185</v>
      </c>
    </row>
    <row r="233" spans="1:8" ht="78" customHeight="1">
      <c r="A233" s="47" t="s">
        <v>91</v>
      </c>
      <c r="B233" s="41" t="s">
        <v>26</v>
      </c>
      <c r="C233" s="4">
        <v>100</v>
      </c>
      <c r="D233" s="13">
        <v>2370693</v>
      </c>
      <c r="E233" s="13">
        <v>16838.48</v>
      </c>
      <c r="F233" s="83">
        <f aca="true" t="shared" si="16" ref="F233:F239">D233+E233</f>
        <v>2387531.48</v>
      </c>
      <c r="G233" s="13">
        <v>2387531.48</v>
      </c>
      <c r="H233" s="105">
        <f t="shared" si="14"/>
        <v>100</v>
      </c>
    </row>
    <row r="234" spans="1:8" ht="47.25" customHeight="1">
      <c r="A234" s="47" t="s">
        <v>92</v>
      </c>
      <c r="B234" s="41" t="s">
        <v>26</v>
      </c>
      <c r="C234" s="4">
        <v>200</v>
      </c>
      <c r="D234" s="13">
        <v>432581</v>
      </c>
      <c r="E234" s="13">
        <v>-16838.48</v>
      </c>
      <c r="F234" s="83">
        <f t="shared" si="16"/>
        <v>415742.52</v>
      </c>
      <c r="G234" s="13">
        <v>384386.59</v>
      </c>
      <c r="H234" s="105">
        <f t="shared" si="14"/>
        <v>92.45784867037415</v>
      </c>
    </row>
    <row r="235" spans="1:8" ht="33" customHeight="1">
      <c r="A235" s="47" t="s">
        <v>25</v>
      </c>
      <c r="B235" s="41" t="s">
        <v>26</v>
      </c>
      <c r="C235" s="4">
        <v>800</v>
      </c>
      <c r="D235" s="13">
        <v>1680</v>
      </c>
      <c r="E235" s="13"/>
      <c r="F235" s="83">
        <f t="shared" si="16"/>
        <v>1680</v>
      </c>
      <c r="G235" s="13">
        <v>1680</v>
      </c>
      <c r="H235" s="105">
        <f t="shared" si="14"/>
        <v>100</v>
      </c>
    </row>
    <row r="236" spans="1:8" ht="79.5" customHeight="1">
      <c r="A236" s="55" t="s">
        <v>194</v>
      </c>
      <c r="B236" s="71" t="s">
        <v>195</v>
      </c>
      <c r="C236" s="5">
        <v>100</v>
      </c>
      <c r="D236" s="13">
        <v>609682</v>
      </c>
      <c r="E236" s="13"/>
      <c r="F236" s="83">
        <f t="shared" si="16"/>
        <v>609682</v>
      </c>
      <c r="G236" s="13">
        <v>609682</v>
      </c>
      <c r="H236" s="105">
        <f t="shared" si="14"/>
        <v>100</v>
      </c>
    </row>
    <row r="237" spans="1:8" ht="48.75" customHeight="1">
      <c r="A237" s="55" t="s">
        <v>196</v>
      </c>
      <c r="B237" s="71" t="s">
        <v>195</v>
      </c>
      <c r="C237" s="5">
        <v>200</v>
      </c>
      <c r="D237" s="13">
        <v>768420</v>
      </c>
      <c r="E237" s="13"/>
      <c r="F237" s="83">
        <f t="shared" si="16"/>
        <v>768420</v>
      </c>
      <c r="G237" s="13">
        <v>768420</v>
      </c>
      <c r="H237" s="105">
        <f t="shared" si="14"/>
        <v>100</v>
      </c>
    </row>
    <row r="238" spans="1:8" ht="93.75" customHeight="1">
      <c r="A238" s="50" t="s">
        <v>430</v>
      </c>
      <c r="B238" s="41" t="s">
        <v>319</v>
      </c>
      <c r="C238" s="4">
        <v>100</v>
      </c>
      <c r="D238" s="13">
        <v>283064</v>
      </c>
      <c r="E238" s="13">
        <v>-15460.92</v>
      </c>
      <c r="F238" s="83">
        <f t="shared" si="16"/>
        <v>267603.08</v>
      </c>
      <c r="G238" s="13">
        <v>267603.08</v>
      </c>
      <c r="H238" s="105">
        <f t="shared" si="14"/>
        <v>100</v>
      </c>
    </row>
    <row r="239" spans="1:8" ht="63" customHeight="1">
      <c r="A239" s="50" t="s">
        <v>161</v>
      </c>
      <c r="B239" s="41" t="s">
        <v>319</v>
      </c>
      <c r="C239" s="4">
        <v>200</v>
      </c>
      <c r="D239" s="13">
        <v>50879</v>
      </c>
      <c r="E239" s="13"/>
      <c r="F239" s="83">
        <f t="shared" si="16"/>
        <v>50879</v>
      </c>
      <c r="G239" s="13">
        <v>50879</v>
      </c>
      <c r="H239" s="105">
        <f t="shared" si="14"/>
        <v>100</v>
      </c>
    </row>
    <row r="240" spans="1:8" s="19" customFormat="1" ht="40.5" customHeight="1">
      <c r="A240" s="27" t="s">
        <v>445</v>
      </c>
      <c r="B240" s="18" t="s">
        <v>162</v>
      </c>
      <c r="C240" s="18"/>
      <c r="D240" s="20">
        <f>D241</f>
        <v>1702300</v>
      </c>
      <c r="E240" s="20">
        <f>E241</f>
        <v>-311119.89</v>
      </c>
      <c r="F240" s="93">
        <f>F241</f>
        <v>1391180.1099999999</v>
      </c>
      <c r="G240" s="93">
        <f>G241</f>
        <v>1391180.11</v>
      </c>
      <c r="H240" s="109">
        <f t="shared" si="14"/>
        <v>100.00000000000003</v>
      </c>
    </row>
    <row r="241" spans="1:8" s="19" customFormat="1" ht="17.25" customHeight="1">
      <c r="A241" s="46" t="s">
        <v>67</v>
      </c>
      <c r="B241" s="36" t="s">
        <v>68</v>
      </c>
      <c r="C241" s="36"/>
      <c r="D241" s="37">
        <f>SUM(D242:D243)</f>
        <v>1702300</v>
      </c>
      <c r="E241" s="37">
        <f>SUM(E242:E243)</f>
        <v>-311119.89</v>
      </c>
      <c r="F241" s="95">
        <f>SUM(F242:F243)</f>
        <v>1391180.1099999999</v>
      </c>
      <c r="G241" s="95">
        <f>SUM(G242:G243)</f>
        <v>1391180.11</v>
      </c>
      <c r="H241" s="111">
        <f t="shared" si="14"/>
        <v>100.00000000000003</v>
      </c>
    </row>
    <row r="242" spans="1:8" ht="48.75" customHeight="1">
      <c r="A242" s="47" t="s">
        <v>306</v>
      </c>
      <c r="B242" s="4" t="s">
        <v>163</v>
      </c>
      <c r="C242" s="4">
        <v>600</v>
      </c>
      <c r="D242" s="13">
        <v>2000</v>
      </c>
      <c r="E242" s="13"/>
      <c r="F242" s="83">
        <f>D242+E242</f>
        <v>2000</v>
      </c>
      <c r="G242" s="13">
        <v>2000</v>
      </c>
      <c r="H242" s="105">
        <f t="shared" si="14"/>
        <v>100</v>
      </c>
    </row>
    <row r="243" spans="1:8" s="19" customFormat="1" ht="77.25" customHeight="1">
      <c r="A243" s="55" t="s">
        <v>15</v>
      </c>
      <c r="B243" s="5" t="s">
        <v>173</v>
      </c>
      <c r="C243" s="5">
        <v>600</v>
      </c>
      <c r="D243" s="13">
        <v>1700300</v>
      </c>
      <c r="E243" s="13">
        <v>-311119.89</v>
      </c>
      <c r="F243" s="83">
        <f>D243+E243</f>
        <v>1389180.1099999999</v>
      </c>
      <c r="G243" s="103">
        <v>1389180.11</v>
      </c>
      <c r="H243" s="105">
        <f t="shared" si="14"/>
        <v>100.00000000000003</v>
      </c>
    </row>
    <row r="244" spans="1:8" s="19" customFormat="1" ht="56.25" customHeight="1">
      <c r="A244" s="27" t="s">
        <v>238</v>
      </c>
      <c r="B244" s="18" t="s">
        <v>364</v>
      </c>
      <c r="C244" s="18"/>
      <c r="D244" s="20" t="e">
        <f>D245+D247+#REF!+D249</f>
        <v>#REF!</v>
      </c>
      <c r="E244" s="20" t="e">
        <f>E245+E247+#REF!+E249</f>
        <v>#REF!</v>
      </c>
      <c r="F244" s="93">
        <f>F245+F247+F249</f>
        <v>846024</v>
      </c>
      <c r="G244" s="93">
        <f>G245+G247+G249</f>
        <v>836256</v>
      </c>
      <c r="H244" s="109">
        <f t="shared" si="14"/>
        <v>98.8454228248844</v>
      </c>
    </row>
    <row r="245" spans="1:8" s="19" customFormat="1" ht="33" customHeight="1">
      <c r="A245" s="46" t="s">
        <v>139</v>
      </c>
      <c r="B245" s="36" t="s">
        <v>138</v>
      </c>
      <c r="C245" s="36"/>
      <c r="D245" s="37">
        <f>SUM(D246:D246)</f>
        <v>687982</v>
      </c>
      <c r="E245" s="37">
        <f>SUM(E246:E246)</f>
        <v>-11348</v>
      </c>
      <c r="F245" s="95">
        <f>SUM(F246:F246)</f>
        <v>676634</v>
      </c>
      <c r="G245" s="95">
        <f>SUM(G246:G246)</f>
        <v>666866</v>
      </c>
      <c r="H245" s="111">
        <f t="shared" si="14"/>
        <v>98.5563835101399</v>
      </c>
    </row>
    <row r="246" spans="1:8" ht="47.25" customHeight="1">
      <c r="A246" s="47" t="s">
        <v>420</v>
      </c>
      <c r="B246" s="4" t="s">
        <v>140</v>
      </c>
      <c r="C246" s="4">
        <v>200</v>
      </c>
      <c r="D246" s="13">
        <v>687982</v>
      </c>
      <c r="E246" s="13">
        <f>-1270-7078-3000</f>
        <v>-11348</v>
      </c>
      <c r="F246" s="83">
        <f>D246+E246</f>
        <v>676634</v>
      </c>
      <c r="G246" s="13">
        <v>666866</v>
      </c>
      <c r="H246" s="105">
        <f t="shared" si="14"/>
        <v>98.5563835101399</v>
      </c>
    </row>
    <row r="247" spans="1:8" ht="30.75" customHeight="1">
      <c r="A247" s="46" t="s">
        <v>418</v>
      </c>
      <c r="B247" s="36" t="s">
        <v>419</v>
      </c>
      <c r="C247" s="6"/>
      <c r="D247" s="38">
        <f>SUM(D248:D248)</f>
        <v>352308</v>
      </c>
      <c r="E247" s="38">
        <f>SUM(E248:E248)</f>
        <v>-185158</v>
      </c>
      <c r="F247" s="98">
        <f>SUM(F248:F248)</f>
        <v>167150</v>
      </c>
      <c r="G247" s="98">
        <f>SUM(G248:G248)</f>
        <v>167150</v>
      </c>
      <c r="H247" s="106">
        <f t="shared" si="14"/>
        <v>100</v>
      </c>
    </row>
    <row r="248" spans="1:8" ht="33.75" customHeight="1">
      <c r="A248" s="47" t="s">
        <v>300</v>
      </c>
      <c r="B248" s="4" t="s">
        <v>301</v>
      </c>
      <c r="C248" s="4">
        <v>200</v>
      </c>
      <c r="D248" s="13">
        <v>352308</v>
      </c>
      <c r="E248" s="13">
        <f>-27200-23984-12275-16300-73900-31499</f>
        <v>-185158</v>
      </c>
      <c r="F248" s="83">
        <f>D248+E248</f>
        <v>167150</v>
      </c>
      <c r="G248" s="13">
        <v>167150</v>
      </c>
      <c r="H248" s="105">
        <f t="shared" si="14"/>
        <v>100</v>
      </c>
    </row>
    <row r="249" spans="1:8" ht="30.75" customHeight="1">
      <c r="A249" s="46" t="s">
        <v>211</v>
      </c>
      <c r="B249" s="36" t="s">
        <v>212</v>
      </c>
      <c r="C249" s="6"/>
      <c r="D249" s="38">
        <f>SUM(D250:D250)</f>
        <v>2240</v>
      </c>
      <c r="E249" s="38">
        <f>SUM(E250:E250)</f>
        <v>0</v>
      </c>
      <c r="F249" s="98">
        <f>SUM(F250:F250)</f>
        <v>2240</v>
      </c>
      <c r="G249" s="98">
        <f>SUM(G250:G250)</f>
        <v>2240</v>
      </c>
      <c r="H249" s="106">
        <f t="shared" si="14"/>
        <v>100</v>
      </c>
    </row>
    <row r="250" spans="1:8" ht="49.5" customHeight="1">
      <c r="A250" s="55" t="s">
        <v>213</v>
      </c>
      <c r="B250" s="4" t="s">
        <v>214</v>
      </c>
      <c r="C250" s="4">
        <v>200</v>
      </c>
      <c r="D250" s="84">
        <v>2240</v>
      </c>
      <c r="E250" s="13"/>
      <c r="F250" s="83">
        <f>D250+E250</f>
        <v>2240</v>
      </c>
      <c r="G250" s="13">
        <v>2240</v>
      </c>
      <c r="H250" s="105">
        <f t="shared" si="14"/>
        <v>100</v>
      </c>
    </row>
    <row r="251" spans="1:8" ht="57" customHeight="1">
      <c r="A251" s="27" t="s">
        <v>23</v>
      </c>
      <c r="B251" s="18" t="s">
        <v>310</v>
      </c>
      <c r="C251" s="18"/>
      <c r="D251" s="61">
        <f>SUM(D253:D253)</f>
        <v>14000</v>
      </c>
      <c r="E251" s="61">
        <f>SUM(E253:E253)</f>
        <v>0</v>
      </c>
      <c r="F251" s="101">
        <f>SUM(F253:F253)</f>
        <v>14000</v>
      </c>
      <c r="G251" s="101">
        <f>SUM(G253:G253)</f>
        <v>14000</v>
      </c>
      <c r="H251" s="109">
        <f t="shared" si="14"/>
        <v>100</v>
      </c>
    </row>
    <row r="252" spans="1:8" ht="33" customHeight="1">
      <c r="A252" s="46" t="s">
        <v>274</v>
      </c>
      <c r="B252" s="39" t="s">
        <v>311</v>
      </c>
      <c r="C252" s="36"/>
      <c r="D252" s="38">
        <f>SUM(D253:D253)</f>
        <v>14000</v>
      </c>
      <c r="E252" s="38">
        <f>SUM(E253:E253)</f>
        <v>0</v>
      </c>
      <c r="F252" s="98">
        <f>SUM(F253:F253)</f>
        <v>14000</v>
      </c>
      <c r="G252" s="98">
        <f>SUM(G253:G253)</f>
        <v>14000</v>
      </c>
      <c r="H252" s="111">
        <f t="shared" si="14"/>
        <v>100</v>
      </c>
    </row>
    <row r="253" spans="1:8" ht="48.75" customHeight="1">
      <c r="A253" s="47" t="s">
        <v>256</v>
      </c>
      <c r="B253" s="5" t="s">
        <v>312</v>
      </c>
      <c r="C253" s="4">
        <v>300</v>
      </c>
      <c r="D253" s="13">
        <v>14000</v>
      </c>
      <c r="E253" s="13"/>
      <c r="F253" s="83">
        <f>D253+E253</f>
        <v>14000</v>
      </c>
      <c r="G253" s="13">
        <v>14000</v>
      </c>
      <c r="H253" s="105">
        <f t="shared" si="14"/>
        <v>100</v>
      </c>
    </row>
    <row r="254" spans="1:8" ht="44.25" customHeight="1">
      <c r="A254" s="27" t="s">
        <v>215</v>
      </c>
      <c r="B254" s="3" t="s">
        <v>216</v>
      </c>
      <c r="C254" s="3"/>
      <c r="D254" s="85">
        <f aca="true" t="shared" si="17" ref="D254:G255">D255</f>
        <v>0</v>
      </c>
      <c r="E254" s="86">
        <f t="shared" si="17"/>
        <v>34148.05</v>
      </c>
      <c r="F254" s="85">
        <f t="shared" si="17"/>
        <v>34148.05</v>
      </c>
      <c r="G254" s="85">
        <f t="shared" si="17"/>
        <v>25687.2</v>
      </c>
      <c r="H254" s="108">
        <f t="shared" si="14"/>
        <v>75.2230361616549</v>
      </c>
    </row>
    <row r="255" spans="1:8" ht="35.25" customHeight="1">
      <c r="A255" s="23" t="s">
        <v>217</v>
      </c>
      <c r="B255" s="6" t="s">
        <v>218</v>
      </c>
      <c r="C255" s="6"/>
      <c r="D255" s="87">
        <f t="shared" si="17"/>
        <v>0</v>
      </c>
      <c r="E255" s="88">
        <f t="shared" si="17"/>
        <v>34148.05</v>
      </c>
      <c r="F255" s="87">
        <f t="shared" si="17"/>
        <v>34148.05</v>
      </c>
      <c r="G255" s="87">
        <f t="shared" si="17"/>
        <v>25687.2</v>
      </c>
      <c r="H255" s="106">
        <f t="shared" si="14"/>
        <v>75.2230361616549</v>
      </c>
    </row>
    <row r="256" spans="1:8" ht="32.25" customHeight="1">
      <c r="A256" s="46" t="s">
        <v>219</v>
      </c>
      <c r="B256" s="6" t="s">
        <v>220</v>
      </c>
      <c r="C256" s="6"/>
      <c r="D256" s="87">
        <f>SUM(D257:D257)</f>
        <v>0</v>
      </c>
      <c r="E256" s="87">
        <f>SUM(E257:E257)</f>
        <v>34148.05</v>
      </c>
      <c r="F256" s="87">
        <f>SUM(F257:F257)</f>
        <v>34148.05</v>
      </c>
      <c r="G256" s="87">
        <f>SUM(G257:G257)</f>
        <v>25687.2</v>
      </c>
      <c r="H256" s="106">
        <f t="shared" si="14"/>
        <v>75.2230361616549</v>
      </c>
    </row>
    <row r="257" spans="1:8" ht="64.5" customHeight="1">
      <c r="A257" s="47" t="s">
        <v>21</v>
      </c>
      <c r="B257" s="4" t="s">
        <v>221</v>
      </c>
      <c r="C257" s="4">
        <v>200</v>
      </c>
      <c r="D257" s="83"/>
      <c r="E257" s="13">
        <v>34148.05</v>
      </c>
      <c r="F257" s="83">
        <f>D257+E257</f>
        <v>34148.05</v>
      </c>
      <c r="G257" s="13">
        <v>25687.2</v>
      </c>
      <c r="H257" s="105">
        <f aca="true" t="shared" si="18" ref="H257:H278">G257/F257*100</f>
        <v>75.2230361616549</v>
      </c>
    </row>
    <row r="258" spans="1:8" ht="75" customHeight="1">
      <c r="A258" s="27" t="s">
        <v>197</v>
      </c>
      <c r="B258" s="18" t="s">
        <v>198</v>
      </c>
      <c r="C258" s="72"/>
      <c r="D258" s="61">
        <f aca="true" t="shared" si="19" ref="D258:G259">D259</f>
        <v>1341500</v>
      </c>
      <c r="E258" s="61">
        <f t="shared" si="19"/>
        <v>0</v>
      </c>
      <c r="F258" s="101">
        <f t="shared" si="19"/>
        <v>1341500</v>
      </c>
      <c r="G258" s="101">
        <f t="shared" si="19"/>
        <v>1285500</v>
      </c>
      <c r="H258" s="109">
        <f t="shared" si="18"/>
        <v>95.82556839358926</v>
      </c>
    </row>
    <row r="259" spans="1:8" ht="51.75" customHeight="1">
      <c r="A259" s="46" t="s">
        <v>468</v>
      </c>
      <c r="B259" s="36" t="s">
        <v>469</v>
      </c>
      <c r="C259" s="73"/>
      <c r="D259" s="74">
        <f t="shared" si="19"/>
        <v>1341500</v>
      </c>
      <c r="E259" s="74">
        <f t="shared" si="19"/>
        <v>0</v>
      </c>
      <c r="F259" s="102">
        <f t="shared" si="19"/>
        <v>1341500</v>
      </c>
      <c r="G259" s="102">
        <f t="shared" si="19"/>
        <v>1285500</v>
      </c>
      <c r="H259" s="110">
        <f t="shared" si="18"/>
        <v>95.82556839358926</v>
      </c>
    </row>
    <row r="260" spans="1:8" ht="63.75" customHeight="1">
      <c r="A260" s="55" t="s">
        <v>470</v>
      </c>
      <c r="B260" s="5" t="s">
        <v>471</v>
      </c>
      <c r="C260" s="4">
        <v>400</v>
      </c>
      <c r="D260" s="13">
        <v>1341500</v>
      </c>
      <c r="E260" s="13"/>
      <c r="F260" s="83">
        <f>D260+E260</f>
        <v>1341500</v>
      </c>
      <c r="G260" s="13">
        <v>1285500</v>
      </c>
      <c r="H260" s="105">
        <f t="shared" si="18"/>
        <v>95.82556839358926</v>
      </c>
    </row>
    <row r="261" spans="1:8" ht="56.25" customHeight="1">
      <c r="A261" s="27" t="s">
        <v>143</v>
      </c>
      <c r="B261" s="18" t="s">
        <v>124</v>
      </c>
      <c r="C261" s="18"/>
      <c r="D261" s="20">
        <f>D262+D267</f>
        <v>452083.44</v>
      </c>
      <c r="E261" s="20">
        <f>E262+E267</f>
        <v>0</v>
      </c>
      <c r="F261" s="93">
        <f>F262+F267</f>
        <v>452083.44</v>
      </c>
      <c r="G261" s="93">
        <f>G262+G267</f>
        <v>452079.08999999997</v>
      </c>
      <c r="H261" s="109">
        <f t="shared" si="18"/>
        <v>99.99903778824546</v>
      </c>
    </row>
    <row r="262" spans="1:8" ht="35.25" customHeight="1">
      <c r="A262" s="46" t="s">
        <v>69</v>
      </c>
      <c r="B262" s="36" t="s">
        <v>125</v>
      </c>
      <c r="C262" s="36"/>
      <c r="D262" s="37">
        <f>SUM(D263:D266)</f>
        <v>428083.44</v>
      </c>
      <c r="E262" s="37">
        <f>SUM(E263:E266)</f>
        <v>0</v>
      </c>
      <c r="F262" s="95">
        <f>SUM(F263:F266)</f>
        <v>428083.44</v>
      </c>
      <c r="G262" s="95">
        <f>SUM(G263:G266)</f>
        <v>428079.08999999997</v>
      </c>
      <c r="H262" s="111">
        <f t="shared" si="18"/>
        <v>99.99898384296294</v>
      </c>
    </row>
    <row r="263" spans="1:8" ht="78" customHeight="1">
      <c r="A263" s="55" t="s">
        <v>4</v>
      </c>
      <c r="B263" s="5" t="s">
        <v>126</v>
      </c>
      <c r="C263" s="5">
        <v>100</v>
      </c>
      <c r="D263" s="13">
        <v>369280.29</v>
      </c>
      <c r="E263" s="13">
        <f>5854.68+662.83</f>
        <v>6517.51</v>
      </c>
      <c r="F263" s="83">
        <f>D263+E263</f>
        <v>375797.8</v>
      </c>
      <c r="G263" s="13">
        <v>375797.8</v>
      </c>
      <c r="H263" s="105">
        <f t="shared" si="18"/>
        <v>100</v>
      </c>
    </row>
    <row r="264" spans="1:8" ht="46.5" customHeight="1">
      <c r="A264" s="55" t="s">
        <v>5</v>
      </c>
      <c r="B264" s="5" t="s">
        <v>126</v>
      </c>
      <c r="C264" s="5">
        <v>200</v>
      </c>
      <c r="D264" s="13">
        <v>21995.64</v>
      </c>
      <c r="E264" s="13">
        <f>-5854.68-662.83</f>
        <v>-6517.51</v>
      </c>
      <c r="F264" s="83">
        <f>D264+E264</f>
        <v>15478.13</v>
      </c>
      <c r="G264" s="13">
        <v>15478.13</v>
      </c>
      <c r="H264" s="105">
        <f t="shared" si="18"/>
        <v>100</v>
      </c>
    </row>
    <row r="265" spans="1:8" ht="47.25" customHeight="1">
      <c r="A265" s="47" t="s">
        <v>476</v>
      </c>
      <c r="B265" s="4" t="s">
        <v>127</v>
      </c>
      <c r="C265" s="4">
        <v>200</v>
      </c>
      <c r="D265" s="13">
        <v>6288</v>
      </c>
      <c r="E265" s="13"/>
      <c r="F265" s="83">
        <f>D265+E265</f>
        <v>6288</v>
      </c>
      <c r="G265" s="13">
        <v>6288</v>
      </c>
      <c r="H265" s="105">
        <f t="shared" si="18"/>
        <v>100</v>
      </c>
    </row>
    <row r="266" spans="1:8" ht="46.5" customHeight="1">
      <c r="A266" s="47" t="s">
        <v>400</v>
      </c>
      <c r="B266" s="8" t="s">
        <v>128</v>
      </c>
      <c r="C266" s="8">
        <v>200</v>
      </c>
      <c r="D266" s="13">
        <v>30519.51</v>
      </c>
      <c r="E266" s="13"/>
      <c r="F266" s="83">
        <f>D266+E266</f>
        <v>30519.51</v>
      </c>
      <c r="G266" s="13">
        <v>30515.16</v>
      </c>
      <c r="H266" s="105">
        <f t="shared" si="18"/>
        <v>99.98574682227861</v>
      </c>
    </row>
    <row r="267" spans="1:8" ht="34.5" customHeight="1">
      <c r="A267" s="46" t="s">
        <v>70</v>
      </c>
      <c r="B267" s="32" t="s">
        <v>129</v>
      </c>
      <c r="C267" s="32"/>
      <c r="D267" s="34">
        <f>SUM(D268:D269)</f>
        <v>24000</v>
      </c>
      <c r="E267" s="34">
        <f>SUM(E268:E269)</f>
        <v>0</v>
      </c>
      <c r="F267" s="91">
        <f>SUM(F268:F269)</f>
        <v>24000</v>
      </c>
      <c r="G267" s="91">
        <f>SUM(G268:G269)</f>
        <v>24000</v>
      </c>
      <c r="H267" s="107">
        <f t="shared" si="18"/>
        <v>100</v>
      </c>
    </row>
    <row r="268" spans="1:8" ht="64.5" customHeight="1">
      <c r="A268" s="55" t="s">
        <v>160</v>
      </c>
      <c r="B268" s="4" t="s">
        <v>158</v>
      </c>
      <c r="C268" s="4">
        <v>200</v>
      </c>
      <c r="D268" s="13">
        <v>15200</v>
      </c>
      <c r="E268" s="13"/>
      <c r="F268" s="83">
        <f>D268+E268</f>
        <v>15200</v>
      </c>
      <c r="G268" s="13">
        <v>15200</v>
      </c>
      <c r="H268" s="105">
        <f t="shared" si="18"/>
        <v>100</v>
      </c>
    </row>
    <row r="269" spans="1:8" ht="50.25" customHeight="1">
      <c r="A269" s="55" t="s">
        <v>346</v>
      </c>
      <c r="B269" s="4" t="s">
        <v>159</v>
      </c>
      <c r="C269" s="4">
        <v>200</v>
      </c>
      <c r="D269" s="13">
        <v>8800</v>
      </c>
      <c r="E269" s="13"/>
      <c r="F269" s="83">
        <f>D269+E269</f>
        <v>8800</v>
      </c>
      <c r="G269" s="13">
        <v>8800</v>
      </c>
      <c r="H269" s="105">
        <f t="shared" si="18"/>
        <v>100</v>
      </c>
    </row>
    <row r="270" spans="1:8" s="19" customFormat="1" ht="36" customHeight="1">
      <c r="A270" s="17" t="s">
        <v>285</v>
      </c>
      <c r="B270" s="18" t="s">
        <v>137</v>
      </c>
      <c r="C270" s="18"/>
      <c r="D270" s="20">
        <f>D271</f>
        <v>1026610.92</v>
      </c>
      <c r="E270" s="20">
        <f>E271</f>
        <v>20488.65</v>
      </c>
      <c r="F270" s="93">
        <f>F271</f>
        <v>1828299.57</v>
      </c>
      <c r="G270" s="93">
        <f>G271</f>
        <v>1758691.01</v>
      </c>
      <c r="H270" s="109">
        <f t="shared" si="18"/>
        <v>96.19271583595022</v>
      </c>
    </row>
    <row r="271" spans="1:8" s="19" customFormat="1" ht="18.75" customHeight="1">
      <c r="A271" s="46" t="s">
        <v>236</v>
      </c>
      <c r="B271" s="36" t="s">
        <v>136</v>
      </c>
      <c r="C271" s="36"/>
      <c r="D271" s="37">
        <f>SUM(D272:D277)</f>
        <v>1026610.92</v>
      </c>
      <c r="E271" s="37">
        <f>SUM(E272:E277)</f>
        <v>20488.65</v>
      </c>
      <c r="F271" s="95">
        <f>SUM(F272:F277)</f>
        <v>1828299.57</v>
      </c>
      <c r="G271" s="95">
        <f>SUM(G272:G277)</f>
        <v>1758691.01</v>
      </c>
      <c r="H271" s="111">
        <f t="shared" si="18"/>
        <v>96.19271583595022</v>
      </c>
    </row>
    <row r="272" spans="1:8" ht="78.75" customHeight="1">
      <c r="A272" s="47" t="s">
        <v>253</v>
      </c>
      <c r="B272" s="4" t="s">
        <v>135</v>
      </c>
      <c r="C272" s="4">
        <v>100</v>
      </c>
      <c r="D272" s="15">
        <v>849794</v>
      </c>
      <c r="E272" s="15">
        <v>20796.25</v>
      </c>
      <c r="F272" s="83">
        <f>D272+E272</f>
        <v>870590.25</v>
      </c>
      <c r="G272" s="13">
        <v>870590.25</v>
      </c>
      <c r="H272" s="105">
        <f t="shared" si="18"/>
        <v>100</v>
      </c>
    </row>
    <row r="273" spans="1:8" ht="65.25" customHeight="1">
      <c r="A273" s="47" t="s">
        <v>329</v>
      </c>
      <c r="B273" s="4" t="s">
        <v>328</v>
      </c>
      <c r="C273" s="4">
        <v>200</v>
      </c>
      <c r="D273" s="15">
        <v>51908.72</v>
      </c>
      <c r="E273" s="15">
        <f>-3.2-304.4</f>
        <v>-307.59999999999997</v>
      </c>
      <c r="F273" s="83">
        <f>D273+E273</f>
        <v>51601.12</v>
      </c>
      <c r="G273" s="13">
        <v>51594.96</v>
      </c>
      <c r="H273" s="105">
        <f t="shared" si="18"/>
        <v>99.98806227461728</v>
      </c>
    </row>
    <row r="274" spans="1:8" ht="65.25" customHeight="1">
      <c r="A274" s="47" t="s">
        <v>200</v>
      </c>
      <c r="B274" s="4" t="s">
        <v>199</v>
      </c>
      <c r="C274" s="4">
        <v>200</v>
      </c>
      <c r="D274" s="15">
        <v>52885.8</v>
      </c>
      <c r="E274" s="15"/>
      <c r="F274" s="83">
        <f>D274+E274</f>
        <v>52885.8</v>
      </c>
      <c r="G274" s="13">
        <v>52885.8</v>
      </c>
      <c r="H274" s="105">
        <f t="shared" si="18"/>
        <v>100</v>
      </c>
    </row>
    <row r="275" spans="1:8" ht="45.75" customHeight="1">
      <c r="A275" s="47" t="s">
        <v>475</v>
      </c>
      <c r="B275" s="8" t="s">
        <v>474</v>
      </c>
      <c r="C275" s="8">
        <v>200</v>
      </c>
      <c r="D275" s="15">
        <v>63176.4</v>
      </c>
      <c r="E275" s="15"/>
      <c r="F275" s="83">
        <f>D275+E275</f>
        <v>63176.4</v>
      </c>
      <c r="G275" s="13">
        <v>0</v>
      </c>
      <c r="H275" s="105">
        <f t="shared" si="18"/>
        <v>0</v>
      </c>
    </row>
    <row r="276" spans="1:8" ht="68.25" customHeight="1">
      <c r="A276" s="47" t="s">
        <v>268</v>
      </c>
      <c r="B276" s="8" t="s">
        <v>267</v>
      </c>
      <c r="C276" s="8">
        <v>100</v>
      </c>
      <c r="D276" s="15"/>
      <c r="E276" s="15"/>
      <c r="F276" s="83">
        <v>781200</v>
      </c>
      <c r="G276" s="13">
        <v>781200</v>
      </c>
      <c r="H276" s="105">
        <f t="shared" si="18"/>
        <v>100</v>
      </c>
    </row>
    <row r="277" spans="1:8" ht="47.25">
      <c r="A277" s="47" t="s">
        <v>53</v>
      </c>
      <c r="B277" s="8" t="s">
        <v>283</v>
      </c>
      <c r="C277" s="8">
        <v>200</v>
      </c>
      <c r="D277" s="15">
        <v>8846</v>
      </c>
      <c r="E277" s="15"/>
      <c r="F277" s="83">
        <f>D277+E277</f>
        <v>8846</v>
      </c>
      <c r="G277" s="13">
        <v>2420</v>
      </c>
      <c r="H277" s="105">
        <f t="shared" si="18"/>
        <v>27.356997513000223</v>
      </c>
    </row>
    <row r="278" spans="1:8" s="29" customFormat="1" ht="14.25" customHeight="1">
      <c r="A278" s="56" t="s">
        <v>478</v>
      </c>
      <c r="B278" s="57"/>
      <c r="C278" s="57"/>
      <c r="D278" s="16" t="e">
        <f>D7+D69+D114+D168+D179+D182+D192+D205+D218+D227+D240+D244+D251+D258+D261+D270+D254</f>
        <v>#REF!</v>
      </c>
      <c r="E278" s="16" t="e">
        <f>E7+E69+E114+E168+E179+E182+E192+E205+E218+E227+E240+E244+E251+E258+E261+E270+E254</f>
        <v>#REF!</v>
      </c>
      <c r="F278" s="90">
        <f>F7+F69+F114+F168+F179+F182+F192+F205+F218+F227+F240+F244+F251+F258+F261+F270+F254</f>
        <v>273575626.46000004</v>
      </c>
      <c r="G278" s="90">
        <f>G7+G69+G114+G168+G179+G182+G192+G205+G218+G227+G240+G244+G251+G258+G261+G270+G254</f>
        <v>264943599.43000004</v>
      </c>
      <c r="H278" s="108">
        <f t="shared" si="18"/>
        <v>96.84473827522713</v>
      </c>
    </row>
  </sheetData>
  <sheetProtection/>
  <autoFilter ref="A6:F285"/>
  <mergeCells count="2">
    <mergeCell ref="B1:H1"/>
    <mergeCell ref="A3:H4"/>
  </mergeCells>
  <printOptions/>
  <pageMargins left="0.5905511811023623" right="0.3937007874015748" top="0.3937007874015748" bottom="0.3937007874015748" header="0.5118110236220472" footer="0.5118110236220472"/>
  <pageSetup fitToHeight="13" horizontalDpi="600" verticalDpi="600" orientation="portrait" paperSize="9" scale="50" r:id="rId1"/>
  <rowBreaks count="1" manualBreakCount="1"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Fin-12</cp:lastModifiedBy>
  <cp:lastPrinted>2021-03-12T11:28:45Z</cp:lastPrinted>
  <dcterms:created xsi:type="dcterms:W3CDTF">2013-10-30T08:55:37Z</dcterms:created>
  <dcterms:modified xsi:type="dcterms:W3CDTF">2021-03-17T08:23:25Z</dcterms:modified>
  <cp:category/>
  <cp:version/>
  <cp:contentType/>
  <cp:contentStatus/>
</cp:coreProperties>
</file>